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32760" windowWidth="14400" windowHeight="15675" activeTab="0"/>
  </bookViews>
  <sheets>
    <sheet name="BG" sheetId="1" r:id="rId1"/>
  </sheets>
  <definedNames>
    <definedName name="_xlnm.Print_Area" localSheetId="0">'BG'!$A$1:$L$297</definedName>
    <definedName name="_xlnm.Print_Titles" localSheetId="0">'BG'!$4:$5</definedName>
  </definedNames>
  <calcPr fullCalcOnLoad="1"/>
</workbook>
</file>

<file path=xl/sharedStrings.xml><?xml version="1.0" encoding="utf-8"?>
<sst xmlns="http://schemas.openxmlformats.org/spreadsheetml/2006/main" count="1041" uniqueCount="353">
  <si>
    <r>
      <t>m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ламар.</t>
    </r>
  </si>
  <si>
    <t>Тръба безшевна по БДС EN 10216-2:2014 от ст. P235GH, PN = 2.5МРа</t>
  </si>
  <si>
    <t>Доставка и монтаж на топлоизолация:</t>
  </si>
  <si>
    <t>За полагане в канал, колектори, камери, сутерени и абонатни станции</t>
  </si>
  <si>
    <t xml:space="preserve">  DN65</t>
  </si>
  <si>
    <t>Промивка на тръби със студена вода</t>
  </si>
  <si>
    <t xml:space="preserve">Хидравлична проба на монтиран топлопровод </t>
  </si>
  <si>
    <t>Двукратно грундиране с антикорозионен грунд на тръби</t>
  </si>
  <si>
    <t>Двукратно грундиране с антикорозионен грунд на метална конструкция</t>
  </si>
  <si>
    <t xml:space="preserve">  тип  ДП - 76      δ = 6  mm</t>
  </si>
  <si>
    <r>
      <t>m</t>
    </r>
    <r>
      <rPr>
        <vertAlign val="subscript"/>
        <sz val="10"/>
        <rFont val="Times New Roman"/>
        <family val="1"/>
      </rPr>
      <t>тръба</t>
    </r>
  </si>
  <si>
    <r>
      <t>m</t>
    </r>
    <r>
      <rPr>
        <vertAlign val="subscript"/>
        <sz val="10"/>
        <rFont val="Times New Roman"/>
        <family val="1"/>
      </rPr>
      <t>лента</t>
    </r>
  </si>
  <si>
    <r>
      <t>m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изол.</t>
    </r>
  </si>
  <si>
    <r>
      <t>бр</t>
    </r>
    <r>
      <rPr>
        <vertAlign val="subscript"/>
        <sz val="10"/>
        <rFont val="Times New Roman"/>
        <family val="1"/>
      </rPr>
      <t>колена</t>
    </r>
  </si>
  <si>
    <r>
      <t>m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хидр.</t>
    </r>
  </si>
  <si>
    <t>V</t>
  </si>
  <si>
    <t>Тегло на скрап /70% от демонтираните съоръжения/</t>
  </si>
  <si>
    <t>Наименование на видовете работи</t>
  </si>
  <si>
    <t>Мярка</t>
  </si>
  <si>
    <t>Количество</t>
  </si>
  <si>
    <t>Единични цени за:</t>
  </si>
  <si>
    <t>Труд</t>
  </si>
  <si>
    <t>А</t>
  </si>
  <si>
    <t xml:space="preserve">Сигнална лента </t>
  </si>
  <si>
    <t xml:space="preserve"> Доставка и монтаж в канал, камери, сутерени и абонатни станции на:</t>
  </si>
  <si>
    <t>Част: ТОВК</t>
  </si>
  <si>
    <t>I</t>
  </si>
  <si>
    <t xml:space="preserve"> IІ </t>
  </si>
  <si>
    <t>Демонтирани съоръжения</t>
  </si>
  <si>
    <t>Демонтаж на:</t>
  </si>
  <si>
    <t>Материали и мех-я</t>
  </si>
  <si>
    <r>
      <t>бр</t>
    </r>
    <r>
      <rPr>
        <vertAlign val="subscript"/>
        <sz val="10"/>
        <rFont val="Times New Roman"/>
        <family val="1"/>
      </rPr>
      <t>зав.</t>
    </r>
  </si>
  <si>
    <r>
      <t>m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грунд</t>
    </r>
  </si>
  <si>
    <r>
      <t>kg</t>
    </r>
    <r>
      <rPr>
        <vertAlign val="subscript"/>
        <sz val="10"/>
        <rFont val="Times New Roman"/>
        <family val="1"/>
      </rPr>
      <t>грунд</t>
    </r>
  </si>
  <si>
    <t>Монтаж в изкоп на:</t>
  </si>
  <si>
    <t>№</t>
  </si>
  <si>
    <r>
      <t>m</t>
    </r>
    <r>
      <rPr>
        <vertAlign val="subscript"/>
        <sz val="10"/>
        <rFont val="Times New Roman"/>
        <family val="1"/>
      </rPr>
      <t>ламар.</t>
    </r>
  </si>
  <si>
    <t>Шибър стоманен</t>
  </si>
  <si>
    <t>ЗАБЕЛЕЖКИ: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</si>
  <si>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</si>
  <si>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</si>
  <si>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</si>
  <si>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</si>
  <si>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</si>
  <si>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</si>
  <si>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</si>
  <si>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</si>
  <si>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</si>
  <si>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</si>
  <si>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</si>
  <si>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</si>
  <si>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</si>
  <si>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</si>
  <si>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</si>
  <si>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</si>
  <si>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7.1</t>
  </si>
  <si>
    <t>6.1</t>
  </si>
  <si>
    <t>6.2</t>
  </si>
  <si>
    <t>8.1</t>
  </si>
  <si>
    <t>8.2</t>
  </si>
  <si>
    <t>11.1</t>
  </si>
  <si>
    <t>11.2</t>
  </si>
  <si>
    <t>m</t>
  </si>
  <si>
    <t>kg</t>
  </si>
  <si>
    <t xml:space="preserve">  Ø48.3</t>
  </si>
  <si>
    <t xml:space="preserve">  Ø76.1</t>
  </si>
  <si>
    <t xml:space="preserve">  Ø88.9</t>
  </si>
  <si>
    <t xml:space="preserve">  Ø76.1/140</t>
  </si>
  <si>
    <t xml:space="preserve">  Ø88.9/160</t>
  </si>
  <si>
    <t>Промивка и хидравлична проба</t>
  </si>
  <si>
    <t>Защитна самозалепваща се хидроизолационна мембрана с алуминиево фолио върху черупки от изолационна вата за тръба:</t>
  </si>
  <si>
    <t xml:space="preserve">Самозалепваща лента от алуминиево фолио на ролки с ширина 60 mm за свързване на черупки на прави участъци и пристягане през 30 сm - двукратно за тръба: </t>
  </si>
  <si>
    <t xml:space="preserve">Направа и монтаж на дъно плоско за хидравлична проба от  ст. S235 JR по БДС EN 10025:2006 PN = 2.5МРа с дебелина "δ" </t>
  </si>
  <si>
    <r>
      <t>Черупки от изолационна вата с λ</t>
    </r>
    <r>
      <rPr>
        <vertAlign val="subscript"/>
        <sz val="10"/>
        <rFont val="Times New Roman"/>
        <family val="1"/>
      </rPr>
      <t xml:space="preserve">D </t>
    </r>
    <r>
      <rPr>
        <sz val="10"/>
        <rFont val="Times New Roman"/>
        <family val="1"/>
      </rPr>
      <t>= 0,036 W/mK и γ = 80 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с армирано алуминиево фолио и дебелина "δ" за тръба:</t>
    </r>
  </si>
  <si>
    <t>Самозалепваща лента от алуминиево фолио на ролки с ширина 60 mm за свързване на черупки на колена и пристягане на срезовете - двукратно за тръба:</t>
  </si>
  <si>
    <t xml:space="preserve">Параметри и мерни единици </t>
  </si>
  <si>
    <t>Единично тегло, kg</t>
  </si>
  <si>
    <t>Общо тегло, kg</t>
  </si>
  <si>
    <t>III</t>
  </si>
  <si>
    <t>ІV</t>
  </si>
  <si>
    <t>Извозване на демонтирани съоръжения</t>
  </si>
  <si>
    <t>бр.</t>
  </si>
  <si>
    <r>
      <t>m</t>
    </r>
    <r>
      <rPr>
        <vertAlign val="subscript"/>
        <sz val="10"/>
        <rFont val="Times New Roman"/>
        <family val="1"/>
      </rPr>
      <t>тр.</t>
    </r>
  </si>
  <si>
    <t xml:space="preserve">  Ø76.1х4/140</t>
  </si>
  <si>
    <t xml:space="preserve">  Ø88.9х4/160</t>
  </si>
  <si>
    <t xml:space="preserve">  Ø140</t>
  </si>
  <si>
    <t xml:space="preserve">  Ø160</t>
  </si>
  <si>
    <t xml:space="preserve">  Ø48.3х3.2</t>
  </si>
  <si>
    <t xml:space="preserve">  Ø76.1х4</t>
  </si>
  <si>
    <t xml:space="preserve">  Ø88.9х4</t>
  </si>
  <si>
    <t xml:space="preserve">  Ø48.3х4.9</t>
  </si>
  <si>
    <t xml:space="preserve">  Ø76.1х4.8</t>
  </si>
  <si>
    <t>Монтаж на кран спирателен стоманен сферичен на заварка неизолиран PN 25 по БДС EN 736-1</t>
  </si>
  <si>
    <t xml:space="preserve">  Ø76.1 - подаваща, δ = 50 mm</t>
  </si>
  <si>
    <t xml:space="preserve">  Ø76.1 - връщаща, δ = 30 mm</t>
  </si>
  <si>
    <t xml:space="preserve">  Ø88.9 - подаваща, δ = 50 mm</t>
  </si>
  <si>
    <t xml:space="preserve">  Ø88.9 - връщаща, δ = 30 mm</t>
  </si>
  <si>
    <t xml:space="preserve">  Ø76.1 - подаваща</t>
  </si>
  <si>
    <t xml:space="preserve">  Ø76.1 - връщаща</t>
  </si>
  <si>
    <t xml:space="preserve">  Ø88.9 - подаваща</t>
  </si>
  <si>
    <t xml:space="preserve">  Ø88.9 - връщаща</t>
  </si>
  <si>
    <t>Двукратно грундиране с антикорозионен грунд на челни заваръчни шевове за тръба</t>
  </si>
  <si>
    <r>
      <t>m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конст.</t>
    </r>
  </si>
  <si>
    <r>
      <t>m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>кгрунд</t>
    </r>
  </si>
  <si>
    <t>VI</t>
  </si>
  <si>
    <t>Съединителна муфа по БДС EN 489:2010</t>
  </si>
  <si>
    <r>
      <t>kg/m</t>
    </r>
    <r>
      <rPr>
        <vertAlign val="superscript"/>
        <sz val="10"/>
        <rFont val="Times New Roman"/>
        <family val="1"/>
      </rPr>
      <t>2</t>
    </r>
  </si>
  <si>
    <t xml:space="preserve">1. Заваряването на стоманените тръби се изпълнява по стандарт БДС EN ISO 2560-A:2010 с електроди тип Е352RB12, E4303A или тип E4343RR/B/7 </t>
  </si>
  <si>
    <t>Челни заваръчни съединения за тръба</t>
  </si>
  <si>
    <t>Радиографичен контрол на челни заваръчни съединения</t>
  </si>
  <si>
    <t xml:space="preserve">  DN40</t>
  </si>
  <si>
    <t>Хидроизолационно покритие от поцинкована ламарина за монтаж върху изолацията на тръби при вход и изход на камери с дебелина 0,6 mm и ширина 50 cm по БДС EN 10143:2006</t>
  </si>
  <si>
    <t>х</t>
  </si>
  <si>
    <t>Изолирани тръби със сигн. с-ма (ППУ) L=12 m по БДС EN 253:2009 + A2:2015</t>
  </si>
  <si>
    <t>Кран сферичен предварително изолиран с два сервизни крана за дренаж или обезвъздушаване със сигнална система по БДС EN 488:2015</t>
  </si>
  <si>
    <r>
      <t>Коляно 90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предварително изолирано по БДС EN 448:2015</t>
    </r>
  </si>
  <si>
    <t>90° паралелно предварително изолирано отклонение със сигнална система по БДС EN 448:2015</t>
  </si>
  <si>
    <t>Неподвижна опора предварително изолирана със сигн. с-ма по БДС EN 448:2015</t>
  </si>
  <si>
    <t>Крайна капа с планка за ел. инсталация по БДС EN 448:2015</t>
  </si>
  <si>
    <t>Уплътнителен пръстен за стена по БДС EN 448:2015</t>
  </si>
  <si>
    <t>Обект № M16-IV-6</t>
  </si>
  <si>
    <t xml:space="preserve">  Ø88.9/160 х Ø76.1/140 </t>
  </si>
  <si>
    <t xml:space="preserve">  Ø88.9х5.3</t>
  </si>
  <si>
    <t>7.2</t>
  </si>
  <si>
    <t>9.1</t>
  </si>
  <si>
    <t>10.1</t>
  </si>
  <si>
    <t>10.2</t>
  </si>
  <si>
    <t>12.1</t>
  </si>
  <si>
    <t>5.2</t>
  </si>
  <si>
    <t>5.3</t>
  </si>
  <si>
    <t>5.4</t>
  </si>
  <si>
    <t>Изолирани тръби</t>
  </si>
  <si>
    <t>Редукционна муфа комплект със стоманен преход</t>
  </si>
  <si>
    <t>Детайл за преминаване през стена</t>
  </si>
  <si>
    <t xml:space="preserve">  Ø140 x Ø200</t>
  </si>
  <si>
    <t>Компенсационна възглавница</t>
  </si>
  <si>
    <t xml:space="preserve">  тип I 120 x 40 x 1000 mm</t>
  </si>
  <si>
    <t>Полиетиленово фолио за намаляване силите на триене</t>
  </si>
  <si>
    <t xml:space="preserve">  Ø160 - Ø250 ширина = 1m</t>
  </si>
  <si>
    <t>13.1</t>
  </si>
  <si>
    <t>14.1</t>
  </si>
  <si>
    <t>14.2</t>
  </si>
  <si>
    <t>15.1</t>
  </si>
  <si>
    <t>15.2</t>
  </si>
  <si>
    <t>16.1</t>
  </si>
  <si>
    <t>16.2</t>
  </si>
  <si>
    <t>17.1</t>
  </si>
  <si>
    <t>6.3</t>
  </si>
  <si>
    <t>7.3</t>
  </si>
  <si>
    <t>8.3</t>
  </si>
  <si>
    <r>
      <t>Коляно 90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предварително изолирано по БДС EN 448:2015 с рамена 1х1m</t>
    </r>
  </si>
  <si>
    <t xml:space="preserve">Стартов компенсатор по БДС EN 448:2015 </t>
  </si>
  <si>
    <r>
      <t>Коляно 90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 тип В по БДС EN 10253-2:2009+A2:2015 от ст. P235GH, PN = 2.5МРа </t>
    </r>
  </si>
  <si>
    <t>Б</t>
  </si>
  <si>
    <t>Част: СК</t>
  </si>
  <si>
    <t>ед.м.</t>
  </si>
  <si>
    <t>дължина
m</t>
  </si>
  <si>
    <t>ширина
 m</t>
  </si>
  <si>
    <t>височина
m</t>
  </si>
  <si>
    <t>брой</t>
  </si>
  <si>
    <t>общо колич.</t>
  </si>
  <si>
    <t>Строителни работи за полагане на предварително изолиран топлопровод</t>
  </si>
  <si>
    <t>1</t>
  </si>
  <si>
    <t xml:space="preserve">Изкопни работи </t>
  </si>
  <si>
    <t>*</t>
  </si>
  <si>
    <t xml:space="preserve">  изкоп до покривна плоча на същ. канал 150/90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</si>
  <si>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</si>
  <si>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 изкоп до покривна плоча на същ. канал 90/45 за 2Ø76/140 </t>
  </si>
  <si>
    <t xml:space="preserve">  изкоп за ППУ</t>
  </si>
  <si>
    <t xml:space="preserve">  за 2Ø76,1/140</t>
  </si>
  <si>
    <r>
      <t>m</t>
    </r>
    <r>
      <rPr>
        <vertAlign val="superscript"/>
        <sz val="10"/>
        <rFont val="Arial"/>
        <family val="1"/>
      </rPr>
      <t>3</t>
    </r>
  </si>
  <si>
    <t xml:space="preserve">  за 2Ø88,9/160</t>
  </si>
  <si>
    <t xml:space="preserve">  уширение на изкопа за направа на муфи и върхове</t>
  </si>
  <si>
    <t xml:space="preserve">  уширение на изкопа за направа на НО</t>
  </si>
  <si>
    <t xml:space="preserve">  уширение на изкопа за направа на шахта за изолирани    шибъри</t>
  </si>
  <si>
    <t xml:space="preserve">  Общо изкоп:</t>
  </si>
  <si>
    <t>ръчен изкоп - 10%</t>
  </si>
  <si>
    <t>машинен изкоп - 90%</t>
  </si>
  <si>
    <t>2</t>
  </si>
  <si>
    <t xml:space="preserve">Извозване на земни маси </t>
  </si>
  <si>
    <t>t</t>
  </si>
  <si>
    <t>3</t>
  </si>
  <si>
    <t>Укрепване на вертикален строителен изкоп</t>
  </si>
  <si>
    <r>
      <t>m</t>
    </r>
    <r>
      <rPr>
        <vertAlign val="superscript"/>
        <sz val="10"/>
        <rFont val="Arial"/>
        <family val="1"/>
      </rPr>
      <t>2</t>
    </r>
  </si>
  <si>
    <t>4</t>
  </si>
  <si>
    <t>Демонтаж на покривни плочи ПП 120/300</t>
  </si>
  <si>
    <t>5</t>
  </si>
  <si>
    <t>Извозване на покривни плочи</t>
  </si>
  <si>
    <t>Монтаж на демонтиранa покривнa плочa ПП 120/300</t>
  </si>
  <si>
    <t xml:space="preserve">Циментов разтвор М10 за замонолитване на фуги </t>
  </si>
  <si>
    <t xml:space="preserve">Циментова замазка върху покривна плоча </t>
  </si>
  <si>
    <r>
      <t>m</t>
    </r>
    <r>
      <rPr>
        <vertAlign val="superscript"/>
        <sz val="10"/>
        <rFont val="Times New Roman"/>
        <family val="1"/>
      </rPr>
      <t>2</t>
    </r>
  </si>
  <si>
    <t>Хидроизолация на покривна плоча (хоризонтална и вертикална)</t>
  </si>
  <si>
    <t>Демонтаж на покривни плочи ПП 180/300</t>
  </si>
  <si>
    <t>Монтаж на демонтирани покривни плочи</t>
  </si>
  <si>
    <t>Почистване на съществуващ канал</t>
  </si>
  <si>
    <t>Разбиване на бетонова стена на канал с багер-чук</t>
  </si>
  <si>
    <t>17</t>
  </si>
  <si>
    <t>Разбиване на отвор в стена на камера за преминаване на топлопровод с къртач</t>
  </si>
  <si>
    <t>18</t>
  </si>
  <si>
    <t>Разбиване на отвор в стена на сграда за преминаване на топлопровод с къртач</t>
  </si>
  <si>
    <t>Демонтаж на опорни блокчета на плъзгащи опори в канал</t>
  </si>
  <si>
    <t>Извозване на стоманобетонови отпадъци</t>
  </si>
  <si>
    <t>Пясъчна възглавница и пясъчна засипка</t>
  </si>
  <si>
    <t xml:space="preserve">  ППУ в съществуващ канал - 90/45</t>
  </si>
  <si>
    <t xml:space="preserve">  ППУ в изкоп</t>
  </si>
  <si>
    <t xml:space="preserve">  уширение при муфи и върхове за 2Ø88,9/160</t>
  </si>
  <si>
    <t xml:space="preserve">  ОБЩО:</t>
  </si>
  <si>
    <t xml:space="preserve">  СПАДА СЕ: обем тръби</t>
  </si>
  <si>
    <t xml:space="preserve">  за 2Ø89/160</t>
  </si>
  <si>
    <t xml:space="preserve">  за 2Ø76/140</t>
  </si>
  <si>
    <t>21.1</t>
  </si>
  <si>
    <t>Общо пясъчна възглавница и пясъчна засипка: (умножен с Кр = 1,15)</t>
  </si>
  <si>
    <t>Доставка и монтаж на стоманобетово корито КЕ 90/45, L=3m</t>
  </si>
  <si>
    <t>Кофраж на отвор в стена на сграда</t>
  </si>
  <si>
    <t>Кофраж на отвор в стена на камера</t>
  </si>
  <si>
    <t>Замонолитване на отвор в стена на сграда с бетон клас C20/25 (В25)</t>
  </si>
  <si>
    <t>Замонолитване на отвор в стена на камера с бетон клас C20/25 (В25)</t>
  </si>
  <si>
    <t>Доставка на баластра за обратна засипка, Кр = 1,25</t>
  </si>
  <si>
    <t>27.1</t>
  </si>
  <si>
    <t>уплътнена с пневманична трамбовка - 30%</t>
  </si>
  <si>
    <t>27.2</t>
  </si>
  <si>
    <t>уплътнена с валяк - 70%</t>
  </si>
  <si>
    <t>Доставка на пръст за обратна засипка, Кр = 1,25</t>
  </si>
  <si>
    <t>28.1</t>
  </si>
  <si>
    <t>28.2</t>
  </si>
  <si>
    <t>29</t>
  </si>
  <si>
    <t xml:space="preserve">Затревяване </t>
  </si>
  <si>
    <t>II</t>
  </si>
  <si>
    <t>Опорни блокчета -20/20/10-2 бр.за плъзгащи опори</t>
  </si>
  <si>
    <t>Бетон за конструкция клас C30/37</t>
  </si>
  <si>
    <t>Конструкция от профилна стомана - S235JR</t>
  </si>
  <si>
    <t xml:space="preserve">Армировъчна стомана клас В500 </t>
  </si>
  <si>
    <t xml:space="preserve">Кофраж и декофриране  на опорни блокчета </t>
  </si>
  <si>
    <t>Цим. разтвор за замонолитване на опорни блокчета</t>
  </si>
  <si>
    <t>Стоманобетонов блок за неподвижна опора за 2Ø76,1/140 - 1бр.</t>
  </si>
  <si>
    <t>Подложен бетон клас C12/15</t>
  </si>
  <si>
    <t>Кофраж и декофраж на стоманобетонов блок</t>
  </si>
  <si>
    <t>Армировъчна стомана клас В500</t>
  </si>
  <si>
    <t>IV</t>
  </si>
  <si>
    <t>Шахта Ш1 за изолирани шибъри за 2Ø89/160</t>
  </si>
  <si>
    <t>Подготвителни работи</t>
  </si>
  <si>
    <t>Бетон клас C30/37 за покривни плочи</t>
  </si>
  <si>
    <t>Кофраж и декофраж на покривни плочи</t>
  </si>
  <si>
    <t>Строителни работи за направа на шахта</t>
  </si>
  <si>
    <t>Бетон клас C30/37 за фундаменти</t>
  </si>
  <si>
    <t>Бетон клас C30/37 за  стоманобетонов пръстен</t>
  </si>
  <si>
    <t xml:space="preserve">Зидария от бетонови тухли </t>
  </si>
  <si>
    <t xml:space="preserve">Циментов разтвор М10 за тухлена зидария </t>
  </si>
  <si>
    <t>6</t>
  </si>
  <si>
    <t>Кофраж и декофраж на фундаменти и стоманобетонов пръстен</t>
  </si>
  <si>
    <t>7</t>
  </si>
  <si>
    <t xml:space="preserve">Чугунен капак Ø800, EN 124, група 4, клас D400 </t>
  </si>
  <si>
    <t xml:space="preserve">Ремонтни работи в съществуващи камери  </t>
  </si>
  <si>
    <t>Демонтаж на метални конструкции в камера</t>
  </si>
  <si>
    <t>Тегло на скрап - 70% от демонтираните конструкции</t>
  </si>
  <si>
    <t>Направа на стълби от профилна стомана - S235JR</t>
  </si>
  <si>
    <t>Грундиране и двукратно боядисване с антикорозионен лак</t>
  </si>
  <si>
    <t xml:space="preserve">Циментова замазка - дъно на камера </t>
  </si>
  <si>
    <t>Продухване на отводняване</t>
  </si>
  <si>
    <t>Почистване на камера</t>
  </si>
  <si>
    <t xml:space="preserve">Мероприятия за обезопасяване - многократна употреба </t>
  </si>
  <si>
    <t>Oбезопасителна инвентарна ограда - монтаж и демонтаж</t>
  </si>
  <si>
    <t>Пасарелки (пешеходен мост) - монтаж и демонтаж</t>
  </si>
  <si>
    <t>Обезопасителни знаци - монтаж и демонтаж</t>
  </si>
  <si>
    <t>Сигнално осветление за обезопасяване на обекта - монтаж и демонтаж</t>
  </si>
  <si>
    <t>В</t>
  </si>
  <si>
    <t>Част: Пътна</t>
  </si>
  <si>
    <t>Ед. Мярка</t>
  </si>
  <si>
    <t>Количество за m²</t>
  </si>
  <si>
    <t xml:space="preserve">Настилка, m² </t>
  </si>
  <si>
    <t>Общо к-во</t>
  </si>
  <si>
    <t>Възстановяване на настилката</t>
  </si>
  <si>
    <t>Асфалтова настилка - леко движение</t>
  </si>
  <si>
    <t xml:space="preserve">  разваляне на асфалтова настилка</t>
  </si>
  <si>
    <r>
      <t>m</t>
    </r>
    <r>
      <rPr>
        <sz val="10"/>
        <rFont val="Calibri"/>
        <family val="2"/>
      </rPr>
      <t>³</t>
    </r>
  </si>
  <si>
    <t xml:space="preserve">  превоз на асфалтови отпадъци</t>
  </si>
  <si>
    <t xml:space="preserve">  разваляне на трошенокаменна основа</t>
  </si>
  <si>
    <t xml:space="preserve">  превоз на строителни отпадъци</t>
  </si>
  <si>
    <t>1.5</t>
  </si>
  <si>
    <t xml:space="preserve">  валиране и подравняване на земно легло</t>
  </si>
  <si>
    <t>m²</t>
  </si>
  <si>
    <t>1.6</t>
  </si>
  <si>
    <t xml:space="preserve">  полагане на плътен асфалтобетон /4cm/</t>
  </si>
  <si>
    <t>1.7</t>
  </si>
  <si>
    <t xml:space="preserve">  полагане на битумизиран трошен камък /6cm/</t>
  </si>
  <si>
    <t>1.8</t>
  </si>
  <si>
    <t xml:space="preserve">  полагане на трошен камък /45cm/</t>
  </si>
  <si>
    <t>1.9</t>
  </si>
  <si>
    <t xml:space="preserve">  проба за плътност</t>
  </si>
  <si>
    <t>Фрезоване</t>
  </si>
  <si>
    <t xml:space="preserve">  плътен асфалтобетон /4cm/</t>
  </si>
  <si>
    <t xml:space="preserve">Преасфалтиране </t>
  </si>
  <si>
    <t xml:space="preserve">Асфалтов паркинг </t>
  </si>
  <si>
    <t>4.5</t>
  </si>
  <si>
    <t>4.6</t>
  </si>
  <si>
    <t>4.7</t>
  </si>
  <si>
    <t xml:space="preserve">  полагане на битумизиран трошен камък /5cm/</t>
  </si>
  <si>
    <t>4.8</t>
  </si>
  <si>
    <t xml:space="preserve">  полагане на трошен камък /30cm/</t>
  </si>
  <si>
    <t>4.9</t>
  </si>
  <si>
    <t xml:space="preserve">Циментобетонова настилка </t>
  </si>
  <si>
    <t xml:space="preserve">  разбиване на бетонова настилка</t>
  </si>
  <si>
    <t xml:space="preserve">  превоз на бетонови отпадъци</t>
  </si>
  <si>
    <t xml:space="preserve">  превоз на строителни отпадъци от трошен камък</t>
  </si>
  <si>
    <t>5.5</t>
  </si>
  <si>
    <t>5.6</t>
  </si>
  <si>
    <t>5.7</t>
  </si>
  <si>
    <t xml:space="preserve">  пясък /5cm/</t>
  </si>
  <si>
    <t>5.8</t>
  </si>
  <si>
    <t xml:space="preserve">  трошен камък /30cm/</t>
  </si>
  <si>
    <t>Асфалтова настилка за тротоари, площадка и алея</t>
  </si>
  <si>
    <t>6.4</t>
  </si>
  <si>
    <t>6.5</t>
  </si>
  <si>
    <t>6.6</t>
  </si>
  <si>
    <t>6.7</t>
  </si>
  <si>
    <t xml:space="preserve">  трошен камък /16cm/</t>
  </si>
  <si>
    <t>Тротоарна настилка с бетонови плочи</t>
  </si>
  <si>
    <t xml:space="preserve">  разваляне на тротоар от бетонови плочи</t>
  </si>
  <si>
    <t>7.4</t>
  </si>
  <si>
    <t>7.5</t>
  </si>
  <si>
    <t>7.6</t>
  </si>
  <si>
    <t xml:space="preserve">  бетонови плочи</t>
  </si>
  <si>
    <t>7.7</t>
  </si>
  <si>
    <t xml:space="preserve">  вароциментов р-р М 50</t>
  </si>
  <si>
    <t>7.8</t>
  </si>
  <si>
    <t>Бетонови бордюри</t>
  </si>
  <si>
    <t xml:space="preserve">  разваляне на съществуващи бет.бордюри</t>
  </si>
  <si>
    <t xml:space="preserve">  разбиване на бетонова основа</t>
  </si>
  <si>
    <t xml:space="preserve">  превоз на отпадъци от бетонови бордюри</t>
  </si>
  <si>
    <t>8.4</t>
  </si>
  <si>
    <t xml:space="preserve">  превоз на отпадъци от бетонова основа</t>
  </si>
  <si>
    <t>8.5</t>
  </si>
  <si>
    <t xml:space="preserve">  направа на бетонова основа В15</t>
  </si>
  <si>
    <t>8.6</t>
  </si>
  <si>
    <t xml:space="preserve">  полагане на бетонови бордюри</t>
  </si>
  <si>
    <t>Временна организация на движение</t>
  </si>
  <si>
    <t>пътни знаци I типоразмер</t>
  </si>
  <si>
    <t>Сигнални лампи С16</t>
  </si>
  <si>
    <t xml:space="preserve">  циментобетон М 4.0 /20cm/</t>
  </si>
  <si>
    <t xml:space="preserve">Реконструкция на топлопровод от камера № К86 до бл. 30, от камера № К87-4 до бл. 31 и отклоненията за бл.5 – жк. „Свобода“, гр. София, р-н „Надежда“
</t>
  </si>
  <si>
    <t>Обща стойност за обекта в лева без ДДС</t>
  </si>
  <si>
    <t>до 10 % непредвидени разходи в лева без ДДС</t>
  </si>
  <si>
    <t>Всичко в лева без ДДС</t>
  </si>
  <si>
    <t>20 % ДДС</t>
  </si>
  <si>
    <t>Всичко в лева с  ДДС</t>
  </si>
  <si>
    <t>2. Позициите, маркирани със знак "*" са информативни и не следва да бъдат остойностявани.</t>
  </si>
  <si>
    <t>3. Знакът "Х" в клетките означава, че не се разрешава въвеждане на стойности в тези клетки.</t>
  </si>
  <si>
    <t>КОЛИЧЕСТВЕНО-СТОЙНОСТНА СМЕТКА (КСС)</t>
  </si>
  <si>
    <t>Образец № 17</t>
  </si>
  <si>
    <t>x</t>
  </si>
  <si>
    <t>Общо в лева без ДДС</t>
  </si>
  <si>
    <t xml:space="preserve"> Обща цена в лева без ДДС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</si>
</sst>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"/>
    <numFmt numFmtId="184" formatCode="[$-402]dd\ mmmm\ yyyy\ &quot;г.&quot;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mmm/yyyy"/>
    <numFmt numFmtId="196" formatCode="hh:mm:ss\ &quot;ч.&quot;"/>
    <numFmt numFmtId="197" formatCode="#,##0.0"/>
    <numFmt numFmtId="198" formatCode="#,##0.000"/>
    <numFmt numFmtId="199" formatCode="#,##0.00\ &quot;лв.&quot;"/>
  </numFmts>
  <fonts count="5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Hebar"/>
      <family val="0"/>
    </font>
    <font>
      <b/>
      <sz val="6.5"/>
      <name val="Times New Roman"/>
      <family val="1"/>
    </font>
    <font>
      <vertAlign val="superscript"/>
      <sz val="10"/>
      <name val="Arial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7030A0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 hidden="1" locked="0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" fontId="4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textRotation="90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vertical="center" wrapText="1"/>
      <protection hidden="1" locked="0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34" borderId="12" xfId="57" applyFont="1" applyFill="1" applyBorder="1" applyAlignment="1">
      <alignment horizontal="center" vertical="center" wrapText="1"/>
      <protection/>
    </xf>
    <xf numFmtId="2" fontId="13" fillId="34" borderId="13" xfId="57" applyNumberFormat="1" applyFont="1" applyFill="1" applyBorder="1" applyAlignment="1">
      <alignment horizontal="center" vertical="center" wrapText="1"/>
      <protection/>
    </xf>
    <xf numFmtId="2" fontId="13" fillId="34" borderId="12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10" xfId="57" applyFont="1" applyFill="1" applyBorder="1" applyAlignment="1" quotePrefix="1">
      <alignment horizontal="center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right" vertical="center" wrapText="1"/>
      <protection/>
    </xf>
    <xf numFmtId="1" fontId="1" fillId="0" borderId="10" xfId="57" applyNumberFormat="1" applyFont="1" applyFill="1" applyBorder="1" applyAlignment="1">
      <alignment horizontal="right" vertical="center" wrapText="1"/>
      <protection/>
    </xf>
    <xf numFmtId="0" fontId="1" fillId="0" borderId="0" xfId="57" applyFont="1" applyFill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2" fontId="1" fillId="0" borderId="10" xfId="57" applyNumberFormat="1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2" fontId="1" fillId="0" borderId="0" xfId="57" applyNumberFormat="1" applyFont="1" applyFill="1" applyAlignment="1">
      <alignment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49" fontId="1" fillId="0" borderId="10" xfId="57" applyNumberFormat="1" applyFont="1" applyFill="1" applyBorder="1" applyAlignment="1" quotePrefix="1">
      <alignment horizontal="center" vertic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33" borderId="13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5" fontId="1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4" fillId="33" borderId="1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 quotePrefix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2" fontId="4" fillId="0" borderId="10" xfId="57" applyNumberFormat="1" applyFont="1" applyFill="1" applyBorder="1" applyAlignment="1">
      <alignment horizontal="right" vertical="center" wrapText="1"/>
      <protection/>
    </xf>
    <xf numFmtId="1" fontId="4" fillId="0" borderId="10" xfId="57" applyNumberFormat="1" applyFont="1" applyFill="1" applyBorder="1" applyAlignment="1">
      <alignment horizontal="right" vertical="center" wrapText="1"/>
      <protection/>
    </xf>
    <xf numFmtId="182" fontId="1" fillId="0" borderId="10" xfId="57" applyNumberFormat="1" applyFont="1" applyFill="1" applyBorder="1" applyAlignment="1">
      <alignment horizontal="center" vertical="center" wrapText="1"/>
      <protection/>
    </xf>
    <xf numFmtId="2" fontId="1" fillId="0" borderId="0" xfId="57" applyNumberFormat="1" applyFont="1" applyFill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57" applyNumberFormat="1" applyFont="1" applyFill="1" applyBorder="1" applyAlignment="1">
      <alignment horizontal="center" vertical="center" wrapText="1"/>
      <protection/>
    </xf>
    <xf numFmtId="2" fontId="4" fillId="0" borderId="0" xfId="57" applyNumberFormat="1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center" wrapText="1"/>
      <protection hidden="1"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 quotePrefix="1">
      <alignment horizontal="center"/>
    </xf>
    <xf numFmtId="19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4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" fontId="54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82" fontId="4" fillId="33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hidden="1" locked="0"/>
    </xf>
    <xf numFmtId="1" fontId="1" fillId="0" borderId="15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82" fontId="1" fillId="0" borderId="15" xfId="0" applyNumberFormat="1" applyFont="1" applyBorder="1" applyAlignment="1">
      <alignment horizontal="right"/>
    </xf>
    <xf numFmtId="182" fontId="1" fillId="0" borderId="11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2" fontId="4" fillId="33" borderId="15" xfId="0" applyNumberFormat="1" applyFont="1" applyFill="1" applyBorder="1" applyAlignment="1">
      <alignment horizontal="left" wrapText="1"/>
    </xf>
    <xf numFmtId="2" fontId="4" fillId="33" borderId="16" xfId="0" applyNumberFormat="1" applyFont="1" applyFill="1" applyBorder="1" applyAlignment="1">
      <alignment horizontal="left" wrapText="1"/>
    </xf>
    <xf numFmtId="2" fontId="4" fillId="33" borderId="11" xfId="0" applyNumberFormat="1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198" fontId="1" fillId="0" borderId="15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 horizontal="right"/>
    </xf>
    <xf numFmtId="0" fontId="4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left" vertical="center" wrapText="1"/>
      <protection hidden="1" locked="0"/>
    </xf>
    <xf numFmtId="0" fontId="4" fillId="33" borderId="16" xfId="0" applyFont="1" applyFill="1" applyBorder="1" applyAlignment="1" applyProtection="1">
      <alignment horizontal="left" vertical="center" wrapText="1"/>
      <protection hidden="1" locked="0"/>
    </xf>
    <xf numFmtId="0" fontId="4" fillId="33" borderId="11" xfId="0" applyFont="1" applyFill="1" applyBorder="1" applyAlignment="1" applyProtection="1">
      <alignment horizontal="left" vertical="center" wrapText="1"/>
      <protection hidden="1" locked="0"/>
    </xf>
    <xf numFmtId="0" fontId="4" fillId="33" borderId="15" xfId="57" applyFont="1" applyFill="1" applyBorder="1" applyAlignment="1">
      <alignment horizontal="left" vertical="center" wrapText="1"/>
      <protection/>
    </xf>
    <xf numFmtId="0" fontId="4" fillId="33" borderId="16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7" applyFont="1" applyFill="1" applyBorder="1" applyAlignment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" fillId="0" borderId="15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82" fontId="1" fillId="0" borderId="15" xfId="0" applyNumberFormat="1" applyFont="1" applyFill="1" applyBorder="1" applyAlignment="1">
      <alignment horizontal="right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55" fillId="35" borderId="0" xfId="0" applyFont="1" applyFill="1" applyAlignment="1">
      <alignment horizontal="left" vertical="justify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right"/>
    </xf>
    <xf numFmtId="0" fontId="56" fillId="35" borderId="16" xfId="0" applyFont="1" applyFill="1" applyBorder="1" applyAlignment="1">
      <alignment horizontal="right"/>
    </xf>
    <xf numFmtId="0" fontId="56" fillId="35" borderId="11" xfId="0" applyFont="1" applyFill="1" applyBorder="1" applyAlignment="1">
      <alignment horizontal="right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7" name="Line 4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5" name="Line 5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6" name="Line 5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7" name="Line 5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59" name="Line 5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0" name="Line 6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1" name="Line 6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2" name="Line 6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4" name="Line 6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5" name="Line 6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6" name="Line 6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7" name="Line 6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9" name="Line 6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0" name="Line 7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1" name="Line 7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2" name="Line 7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4" name="Line 7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5" name="Line 7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6" name="Line 7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0" name="Line 8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1" name="Line 81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2" name="Line 82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4" name="Line 84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5" name="Line 85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6" name="Line 86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7" name="Line 87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89" name="Line 89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90" name="Line 90"/>
        <xdr:cNvSpPr>
          <a:spLocks/>
        </xdr:cNvSpPr>
      </xdr:nvSpPr>
      <xdr:spPr>
        <a:xfrm>
          <a:off x="8915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1" name="Line 91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2" name="Line 92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4" name="Line 94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5" name="Line 95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6" name="Line 96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7" name="Line 97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99" name="Line 99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48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" name="Line 791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7" name="Line 792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8" name="Line 793"/>
        <xdr:cNvSpPr>
          <a:spLocks/>
        </xdr:cNvSpPr>
      </xdr:nvSpPr>
      <xdr:spPr>
        <a:xfrm flipV="1"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9" name="Line 794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0" name="Line 795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1" name="Line 796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2" name="Line 797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3" name="Line 798"/>
        <xdr:cNvSpPr>
          <a:spLocks/>
        </xdr:cNvSpPr>
      </xdr:nvSpPr>
      <xdr:spPr>
        <a:xfrm flipV="1"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" name="Line 799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5" name="Line 800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6" name="Line 801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7" name="Line 802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8" name="Line 803"/>
        <xdr:cNvSpPr>
          <a:spLocks/>
        </xdr:cNvSpPr>
      </xdr:nvSpPr>
      <xdr:spPr>
        <a:xfrm flipV="1"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9" name="Line 804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0" name="Line 805"/>
        <xdr:cNvSpPr>
          <a:spLocks/>
        </xdr:cNvSpPr>
      </xdr:nvSpPr>
      <xdr:spPr>
        <a:xfrm>
          <a:off x="48482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7"/>
  <sheetViews>
    <sheetView tabSelected="1" view="pageBreakPreview" zoomScaleSheetLayoutView="100" zoomScalePageLayoutView="85" workbookViewId="0" topLeftCell="A1">
      <selection activeCell="L7" sqref="L7"/>
    </sheetView>
  </sheetViews>
  <sheetFormatPr defaultColWidth="9.140625" defaultRowHeight="12.75"/>
  <cols>
    <col min="1" max="1" width="5.7109375" style="10" customWidth="1"/>
    <col min="2" max="2" width="46.7109375" style="11" customWidth="1"/>
    <col min="3" max="3" width="6.7109375" style="12" customWidth="1"/>
    <col min="4" max="4" width="6.57421875" style="12" customWidth="1"/>
    <col min="5" max="5" width="7.00390625" style="12" customWidth="1"/>
    <col min="6" max="6" width="7.57421875" style="54" customWidth="1"/>
    <col min="7" max="7" width="6.57421875" style="54" customWidth="1"/>
    <col min="8" max="8" width="10.7109375" style="54" customWidth="1"/>
    <col min="9" max="9" width="8.7109375" style="11" customWidth="1"/>
    <col min="10" max="10" width="11.28125" style="11" bestFit="1" customWidth="1"/>
    <col min="11" max="11" width="7.421875" style="11" customWidth="1"/>
    <col min="12" max="12" width="8.7109375" style="11" customWidth="1"/>
    <col min="13" max="16384" width="9.140625" style="11" customWidth="1"/>
  </cols>
  <sheetData>
    <row r="1" spans="11:12" ht="18" customHeight="1">
      <c r="K1" s="228" t="s">
        <v>349</v>
      </c>
      <c r="L1" s="228"/>
    </row>
    <row r="2" spans="1:12" ht="20.25" customHeight="1">
      <c r="A2" s="227" t="s">
        <v>348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6:12" s="13" customFormat="1" ht="12.75" customHeight="1">
      <c r="F3" s="54"/>
      <c r="G3" s="54"/>
      <c r="H3" s="54"/>
      <c r="I3" s="31"/>
      <c r="J3" s="31"/>
      <c r="K3" s="31"/>
      <c r="L3" s="31"/>
    </row>
    <row r="4" spans="1:12" s="13" customFormat="1" ht="12.75">
      <c r="A4" s="212" t="s">
        <v>35</v>
      </c>
      <c r="B4" s="214" t="s">
        <v>17</v>
      </c>
      <c r="C4" s="214" t="s">
        <v>18</v>
      </c>
      <c r="D4" s="216" t="s">
        <v>75</v>
      </c>
      <c r="E4" s="217"/>
      <c r="F4" s="217"/>
      <c r="G4" s="217"/>
      <c r="H4" s="218"/>
      <c r="I4" s="211" t="s">
        <v>20</v>
      </c>
      <c r="J4" s="211"/>
      <c r="K4" s="211"/>
      <c r="L4" s="203" t="s">
        <v>352</v>
      </c>
    </row>
    <row r="5" spans="1:12" s="13" customFormat="1" ht="52.5" customHeight="1">
      <c r="A5" s="213"/>
      <c r="B5" s="215"/>
      <c r="C5" s="215"/>
      <c r="D5" s="219"/>
      <c r="E5" s="220"/>
      <c r="F5" s="220"/>
      <c r="G5" s="220"/>
      <c r="H5" s="221"/>
      <c r="I5" s="45" t="s">
        <v>21</v>
      </c>
      <c r="J5" s="14" t="s">
        <v>30</v>
      </c>
      <c r="K5" s="14" t="s">
        <v>351</v>
      </c>
      <c r="L5" s="203"/>
    </row>
    <row r="6" spans="1:12" ht="16.5" customHeight="1">
      <c r="A6" s="232" t="s">
        <v>120</v>
      </c>
      <c r="B6" s="233"/>
      <c r="C6" s="233"/>
      <c r="D6" s="233"/>
      <c r="E6" s="233"/>
      <c r="F6" s="233"/>
      <c r="G6" s="233"/>
      <c r="H6" s="234"/>
      <c r="I6" s="15"/>
      <c r="J6" s="1"/>
      <c r="K6" s="1"/>
      <c r="L6" s="1"/>
    </row>
    <row r="7" spans="1:12" s="143" customFormat="1" ht="51" customHeight="1">
      <c r="A7" s="235" t="s">
        <v>340</v>
      </c>
      <c r="B7" s="236"/>
      <c r="C7" s="236"/>
      <c r="D7" s="236"/>
      <c r="E7" s="236"/>
      <c r="F7" s="236"/>
      <c r="G7" s="236"/>
      <c r="H7" s="237"/>
      <c r="I7" s="141"/>
      <c r="J7" s="142"/>
      <c r="K7" s="142"/>
      <c r="L7" s="142"/>
    </row>
    <row r="8" spans="1:12" s="13" customFormat="1" ht="25.5">
      <c r="A8" s="56" t="s">
        <v>22</v>
      </c>
      <c r="B8" s="57" t="s">
        <v>25</v>
      </c>
      <c r="C8" s="61"/>
      <c r="D8" s="207" t="s">
        <v>19</v>
      </c>
      <c r="E8" s="207"/>
      <c r="F8" s="208" t="s">
        <v>76</v>
      </c>
      <c r="G8" s="208"/>
      <c r="H8" s="58" t="s">
        <v>77</v>
      </c>
      <c r="I8" s="59"/>
      <c r="J8" s="60"/>
      <c r="K8" s="60"/>
      <c r="L8" s="60"/>
    </row>
    <row r="9" spans="1:12" s="13" customFormat="1" ht="12.75">
      <c r="A9" s="9" t="s">
        <v>26</v>
      </c>
      <c r="B9" s="184" t="s">
        <v>34</v>
      </c>
      <c r="C9" s="184"/>
      <c r="D9" s="184"/>
      <c r="E9" s="184"/>
      <c r="F9" s="184"/>
      <c r="G9" s="184"/>
      <c r="H9" s="184"/>
      <c r="I9" s="150" t="s">
        <v>350</v>
      </c>
      <c r="J9" s="150" t="s">
        <v>350</v>
      </c>
      <c r="K9" s="150" t="s">
        <v>350</v>
      </c>
      <c r="L9" s="150" t="s">
        <v>350</v>
      </c>
    </row>
    <row r="10" spans="1:12" s="13" customFormat="1" ht="25.5">
      <c r="A10" s="3">
        <v>1</v>
      </c>
      <c r="B10" s="16" t="s">
        <v>113</v>
      </c>
      <c r="C10" s="17"/>
      <c r="D10" s="210"/>
      <c r="E10" s="210"/>
      <c r="F10" s="206"/>
      <c r="G10" s="206"/>
      <c r="H10" s="33"/>
      <c r="I10" s="66" t="s">
        <v>112</v>
      </c>
      <c r="J10" s="66" t="s">
        <v>112</v>
      </c>
      <c r="K10" s="66" t="s">
        <v>112</v>
      </c>
      <c r="L10" s="66" t="s">
        <v>112</v>
      </c>
    </row>
    <row r="11" spans="1:12" ht="12.75">
      <c r="A11" s="38" t="s">
        <v>39</v>
      </c>
      <c r="B11" s="16" t="s">
        <v>83</v>
      </c>
      <c r="C11" s="17" t="s">
        <v>62</v>
      </c>
      <c r="D11" s="195">
        <v>372</v>
      </c>
      <c r="E11" s="195"/>
      <c r="F11" s="196">
        <v>9.38</v>
      </c>
      <c r="G11" s="196"/>
      <c r="H11" s="33">
        <f>D11*F11</f>
        <v>3489.36</v>
      </c>
      <c r="I11" s="47"/>
      <c r="J11" s="16"/>
      <c r="K11" s="16"/>
      <c r="L11" s="16"/>
    </row>
    <row r="12" spans="1:12" ht="12.75">
      <c r="A12" s="38" t="s">
        <v>40</v>
      </c>
      <c r="B12" s="16" t="s">
        <v>84</v>
      </c>
      <c r="C12" s="17" t="s">
        <v>62</v>
      </c>
      <c r="D12" s="195">
        <v>216</v>
      </c>
      <c r="E12" s="195"/>
      <c r="F12" s="196">
        <v>11.03</v>
      </c>
      <c r="G12" s="196"/>
      <c r="H12" s="33">
        <f>D12*F12</f>
        <v>2382.48</v>
      </c>
      <c r="I12" s="47"/>
      <c r="J12" s="16"/>
      <c r="K12" s="16"/>
      <c r="L12" s="16"/>
    </row>
    <row r="13" spans="1:12" s="18" customFormat="1" ht="12.75">
      <c r="A13" s="3">
        <v>2</v>
      </c>
      <c r="B13" s="19" t="s">
        <v>105</v>
      </c>
      <c r="C13" s="8"/>
      <c r="D13" s="209"/>
      <c r="E13" s="209"/>
      <c r="F13" s="182"/>
      <c r="G13" s="182"/>
      <c r="H13" s="33"/>
      <c r="I13" s="66" t="s">
        <v>112</v>
      </c>
      <c r="J13" s="66" t="s">
        <v>112</v>
      </c>
      <c r="K13" s="66" t="s">
        <v>112</v>
      </c>
      <c r="L13" s="66" t="s">
        <v>112</v>
      </c>
    </row>
    <row r="14" spans="1:12" s="18" customFormat="1" ht="12.75">
      <c r="A14" s="39" t="s">
        <v>43</v>
      </c>
      <c r="B14" s="20" t="s">
        <v>85</v>
      </c>
      <c r="C14" s="5" t="s">
        <v>81</v>
      </c>
      <c r="D14" s="180">
        <v>56</v>
      </c>
      <c r="E14" s="180"/>
      <c r="F14" s="182"/>
      <c r="G14" s="183"/>
      <c r="H14" s="33"/>
      <c r="I14" s="47"/>
      <c r="J14" s="16"/>
      <c r="K14" s="16"/>
      <c r="L14" s="16"/>
    </row>
    <row r="15" spans="1:12" s="18" customFormat="1" ht="12.75">
      <c r="A15" s="39" t="s">
        <v>44</v>
      </c>
      <c r="B15" s="20" t="s">
        <v>86</v>
      </c>
      <c r="C15" s="5" t="s">
        <v>81</v>
      </c>
      <c r="D15" s="180">
        <v>24</v>
      </c>
      <c r="E15" s="181"/>
      <c r="F15" s="182"/>
      <c r="G15" s="183"/>
      <c r="H15" s="33"/>
      <c r="I15" s="47"/>
      <c r="J15" s="16"/>
      <c r="K15" s="16"/>
      <c r="L15" s="16"/>
    </row>
    <row r="16" spans="1:12" s="18" customFormat="1" ht="38.25">
      <c r="A16" s="6">
        <v>3</v>
      </c>
      <c r="B16" s="23" t="s">
        <v>114</v>
      </c>
      <c r="C16" s="8"/>
      <c r="D16" s="180"/>
      <c r="E16" s="181"/>
      <c r="F16" s="182"/>
      <c r="G16" s="183"/>
      <c r="H16" s="33"/>
      <c r="I16" s="66" t="s">
        <v>112</v>
      </c>
      <c r="J16" s="66" t="s">
        <v>112</v>
      </c>
      <c r="K16" s="66" t="s">
        <v>112</v>
      </c>
      <c r="L16" s="66" t="s">
        <v>112</v>
      </c>
    </row>
    <row r="17" spans="1:12" s="22" customFormat="1" ht="12.75">
      <c r="A17" s="39" t="s">
        <v>47</v>
      </c>
      <c r="B17" s="16" t="s">
        <v>67</v>
      </c>
      <c r="C17" s="5" t="s">
        <v>81</v>
      </c>
      <c r="D17" s="180">
        <v>2</v>
      </c>
      <c r="E17" s="180"/>
      <c r="F17" s="182"/>
      <c r="G17" s="182"/>
      <c r="H17" s="33"/>
      <c r="I17" s="46"/>
      <c r="J17" s="1"/>
      <c r="K17" s="1"/>
      <c r="L17" s="1"/>
    </row>
    <row r="18" spans="1:19" s="22" customFormat="1" ht="12.75">
      <c r="A18" s="39" t="s">
        <v>48</v>
      </c>
      <c r="B18" s="16" t="s">
        <v>68</v>
      </c>
      <c r="C18" s="5" t="s">
        <v>81</v>
      </c>
      <c r="D18" s="180">
        <v>2</v>
      </c>
      <c r="E18" s="180"/>
      <c r="F18" s="182"/>
      <c r="G18" s="182"/>
      <c r="H18" s="33"/>
      <c r="I18" s="48"/>
      <c r="J18" s="19"/>
      <c r="K18" s="19"/>
      <c r="L18" s="19"/>
      <c r="M18" s="21"/>
      <c r="N18" s="21"/>
      <c r="O18" s="21"/>
      <c r="P18" s="21"/>
      <c r="Q18" s="21"/>
      <c r="R18" s="21"/>
      <c r="S18" s="21"/>
    </row>
    <row r="19" spans="1:12" s="18" customFormat="1" ht="28.5">
      <c r="A19" s="6">
        <v>4</v>
      </c>
      <c r="B19" s="20" t="s">
        <v>115</v>
      </c>
      <c r="C19" s="8"/>
      <c r="D19" s="180"/>
      <c r="E19" s="181"/>
      <c r="F19" s="182"/>
      <c r="G19" s="183"/>
      <c r="H19" s="33"/>
      <c r="I19" s="66" t="s">
        <v>112</v>
      </c>
      <c r="J19" s="66" t="s">
        <v>112</v>
      </c>
      <c r="K19" s="66" t="s">
        <v>112</v>
      </c>
      <c r="L19" s="66" t="s">
        <v>112</v>
      </c>
    </row>
    <row r="20" spans="1:12" s="22" customFormat="1" ht="12.75">
      <c r="A20" s="39" t="s">
        <v>50</v>
      </c>
      <c r="B20" s="16" t="s">
        <v>67</v>
      </c>
      <c r="C20" s="5" t="s">
        <v>81</v>
      </c>
      <c r="D20" s="180">
        <v>14</v>
      </c>
      <c r="E20" s="181"/>
      <c r="F20" s="182"/>
      <c r="G20" s="183"/>
      <c r="H20" s="33"/>
      <c r="I20" s="46"/>
      <c r="J20" s="1"/>
      <c r="K20" s="1"/>
      <c r="L20" s="1"/>
    </row>
    <row r="21" spans="1:19" s="22" customFormat="1" ht="12.75">
      <c r="A21" s="39" t="s">
        <v>51</v>
      </c>
      <c r="B21" s="16" t="s">
        <v>68</v>
      </c>
      <c r="C21" s="5" t="s">
        <v>81</v>
      </c>
      <c r="D21" s="180">
        <v>4</v>
      </c>
      <c r="E21" s="181"/>
      <c r="F21" s="182"/>
      <c r="G21" s="183"/>
      <c r="H21" s="33"/>
      <c r="I21" s="48"/>
      <c r="J21" s="19"/>
      <c r="K21" s="19"/>
      <c r="L21" s="19"/>
      <c r="M21" s="21"/>
      <c r="N21" s="21"/>
      <c r="O21" s="21"/>
      <c r="P21" s="21"/>
      <c r="Q21" s="21"/>
      <c r="R21" s="21"/>
      <c r="S21" s="21"/>
    </row>
    <row r="22" spans="1:19" s="22" customFormat="1" ht="28.5">
      <c r="A22" s="6">
        <v>5</v>
      </c>
      <c r="B22" s="20" t="s">
        <v>150</v>
      </c>
      <c r="C22" s="5"/>
      <c r="D22" s="182"/>
      <c r="E22" s="183"/>
      <c r="F22" s="182"/>
      <c r="G22" s="183"/>
      <c r="H22" s="33"/>
      <c r="I22" s="66" t="s">
        <v>112</v>
      </c>
      <c r="J22" s="66" t="s">
        <v>112</v>
      </c>
      <c r="K22" s="66" t="s">
        <v>112</v>
      </c>
      <c r="L22" s="66" t="s">
        <v>112</v>
      </c>
      <c r="M22" s="21"/>
      <c r="N22" s="21"/>
      <c r="O22" s="21"/>
      <c r="P22" s="21"/>
      <c r="Q22" s="21"/>
      <c r="R22" s="21"/>
      <c r="S22" s="21"/>
    </row>
    <row r="23" spans="1:19" s="22" customFormat="1" ht="12.75">
      <c r="A23" s="39" t="s">
        <v>54</v>
      </c>
      <c r="B23" s="16" t="s">
        <v>67</v>
      </c>
      <c r="C23" s="5" t="s">
        <v>81</v>
      </c>
      <c r="D23" s="180">
        <v>2</v>
      </c>
      <c r="E23" s="181"/>
      <c r="F23" s="180"/>
      <c r="G23" s="181"/>
      <c r="H23" s="33"/>
      <c r="I23" s="48"/>
      <c r="J23" s="19"/>
      <c r="K23" s="19"/>
      <c r="L23" s="19"/>
      <c r="M23" s="21"/>
      <c r="N23" s="21"/>
      <c r="O23" s="21"/>
      <c r="P23" s="21"/>
      <c r="Q23" s="21"/>
      <c r="R23" s="21"/>
      <c r="S23" s="21"/>
    </row>
    <row r="24" spans="1:12" s="18" customFormat="1" ht="25.5">
      <c r="A24" s="6">
        <v>6</v>
      </c>
      <c r="B24" s="20" t="s">
        <v>116</v>
      </c>
      <c r="C24" s="8"/>
      <c r="D24" s="180"/>
      <c r="E24" s="181"/>
      <c r="F24" s="182"/>
      <c r="G24" s="183"/>
      <c r="H24" s="33"/>
      <c r="I24" s="66" t="s">
        <v>112</v>
      </c>
      <c r="J24" s="66" t="s">
        <v>112</v>
      </c>
      <c r="K24" s="66" t="s">
        <v>112</v>
      </c>
      <c r="L24" s="66" t="s">
        <v>112</v>
      </c>
    </row>
    <row r="25" spans="1:12" s="18" customFormat="1" ht="12.75">
      <c r="A25" s="39" t="s">
        <v>56</v>
      </c>
      <c r="B25" s="20" t="s">
        <v>121</v>
      </c>
      <c r="C25" s="5" t="s">
        <v>81</v>
      </c>
      <c r="D25" s="180">
        <v>2</v>
      </c>
      <c r="E25" s="181"/>
      <c r="F25" s="182"/>
      <c r="G25" s="183"/>
      <c r="H25" s="33"/>
      <c r="I25" s="49"/>
      <c r="J25" s="16"/>
      <c r="K25" s="16"/>
      <c r="L25" s="16"/>
    </row>
    <row r="26" spans="1:12" s="18" customFormat="1" ht="12.75">
      <c r="A26" s="39">
        <v>7</v>
      </c>
      <c r="B26" s="20" t="s">
        <v>132</v>
      </c>
      <c r="C26" s="5"/>
      <c r="D26" s="182"/>
      <c r="E26" s="183"/>
      <c r="F26" s="182"/>
      <c r="G26" s="183"/>
      <c r="H26" s="33"/>
      <c r="I26" s="49"/>
      <c r="J26" s="16"/>
      <c r="K26" s="16"/>
      <c r="L26" s="16"/>
    </row>
    <row r="27" spans="1:12" s="18" customFormat="1" ht="12.75">
      <c r="A27" s="39" t="s">
        <v>55</v>
      </c>
      <c r="B27" s="20" t="s">
        <v>121</v>
      </c>
      <c r="C27" s="5" t="s">
        <v>81</v>
      </c>
      <c r="D27" s="180">
        <v>2</v>
      </c>
      <c r="E27" s="181"/>
      <c r="F27" s="182"/>
      <c r="G27" s="183"/>
      <c r="H27" s="33"/>
      <c r="I27" s="49"/>
      <c r="J27" s="16"/>
      <c r="K27" s="16"/>
      <c r="L27" s="16"/>
    </row>
    <row r="28" spans="1:12" s="18" customFormat="1" ht="25.5">
      <c r="A28" s="6">
        <v>8</v>
      </c>
      <c r="B28" s="20" t="s">
        <v>117</v>
      </c>
      <c r="C28" s="8"/>
      <c r="D28" s="180"/>
      <c r="E28" s="181"/>
      <c r="F28" s="182"/>
      <c r="G28" s="183"/>
      <c r="H28" s="33"/>
      <c r="I28" s="66" t="s">
        <v>112</v>
      </c>
      <c r="J28" s="66" t="s">
        <v>112</v>
      </c>
      <c r="K28" s="66" t="s">
        <v>112</v>
      </c>
      <c r="L28" s="66" t="s">
        <v>112</v>
      </c>
    </row>
    <row r="29" spans="1:12" s="22" customFormat="1" ht="12.75">
      <c r="A29" s="39" t="s">
        <v>58</v>
      </c>
      <c r="B29" s="16" t="s">
        <v>67</v>
      </c>
      <c r="C29" s="5" t="s">
        <v>81</v>
      </c>
      <c r="D29" s="180">
        <v>2</v>
      </c>
      <c r="E29" s="181"/>
      <c r="F29" s="182"/>
      <c r="G29" s="183"/>
      <c r="H29" s="33"/>
      <c r="I29" s="46"/>
      <c r="J29" s="1"/>
      <c r="K29" s="1"/>
      <c r="L29" s="1"/>
    </row>
    <row r="30" spans="1:19" s="22" customFormat="1" ht="12.75">
      <c r="A30" s="39">
        <v>9</v>
      </c>
      <c r="B30" s="20" t="s">
        <v>151</v>
      </c>
      <c r="C30" s="5"/>
      <c r="D30" s="182"/>
      <c r="E30" s="183"/>
      <c r="F30" s="182"/>
      <c r="G30" s="183"/>
      <c r="H30" s="33"/>
      <c r="I30" s="66" t="s">
        <v>112</v>
      </c>
      <c r="J30" s="66" t="s">
        <v>112</v>
      </c>
      <c r="K30" s="66" t="s">
        <v>112</v>
      </c>
      <c r="L30" s="66" t="s">
        <v>112</v>
      </c>
      <c r="M30" s="21"/>
      <c r="N30" s="21"/>
      <c r="O30" s="21"/>
      <c r="P30" s="21"/>
      <c r="Q30" s="21"/>
      <c r="R30" s="21"/>
      <c r="S30" s="21"/>
    </row>
    <row r="31" spans="1:19" s="22" customFormat="1" ht="12.75">
      <c r="A31" s="39" t="s">
        <v>124</v>
      </c>
      <c r="B31" s="16" t="s">
        <v>67</v>
      </c>
      <c r="C31" s="5" t="s">
        <v>81</v>
      </c>
      <c r="D31" s="180">
        <v>2</v>
      </c>
      <c r="E31" s="181"/>
      <c r="F31" s="182"/>
      <c r="G31" s="183"/>
      <c r="H31" s="33"/>
      <c r="I31" s="48"/>
      <c r="J31" s="19"/>
      <c r="K31" s="19"/>
      <c r="L31" s="19"/>
      <c r="M31" s="21"/>
      <c r="N31" s="21"/>
      <c r="O31" s="21"/>
      <c r="P31" s="21"/>
      <c r="Q31" s="21"/>
      <c r="R31" s="21"/>
      <c r="S31" s="21"/>
    </row>
    <row r="32" spans="1:12" ht="25.5">
      <c r="A32" s="6">
        <v>10</v>
      </c>
      <c r="B32" s="19" t="s">
        <v>118</v>
      </c>
      <c r="C32" s="8"/>
      <c r="D32" s="180"/>
      <c r="E32" s="181"/>
      <c r="F32" s="182"/>
      <c r="G32" s="183"/>
      <c r="H32" s="33"/>
      <c r="I32" s="66" t="s">
        <v>112</v>
      </c>
      <c r="J32" s="66" t="s">
        <v>112</v>
      </c>
      <c r="K32" s="66" t="s">
        <v>112</v>
      </c>
      <c r="L32" s="66" t="s">
        <v>112</v>
      </c>
    </row>
    <row r="33" spans="1:12" ht="12.75">
      <c r="A33" s="39" t="s">
        <v>125</v>
      </c>
      <c r="B33" s="16" t="s">
        <v>85</v>
      </c>
      <c r="C33" s="4" t="s">
        <v>81</v>
      </c>
      <c r="D33" s="180">
        <v>16</v>
      </c>
      <c r="E33" s="181"/>
      <c r="F33" s="182"/>
      <c r="G33" s="183"/>
      <c r="H33" s="33"/>
      <c r="I33" s="46"/>
      <c r="J33" s="1"/>
      <c r="K33" s="1"/>
      <c r="L33" s="1"/>
    </row>
    <row r="34" spans="1:12" ht="12.75">
      <c r="A34" s="39" t="s">
        <v>126</v>
      </c>
      <c r="B34" s="16" t="s">
        <v>86</v>
      </c>
      <c r="C34" s="4" t="s">
        <v>81</v>
      </c>
      <c r="D34" s="180">
        <v>2</v>
      </c>
      <c r="E34" s="181"/>
      <c r="F34" s="182"/>
      <c r="G34" s="183"/>
      <c r="H34" s="33"/>
      <c r="I34" s="46"/>
      <c r="J34" s="1"/>
      <c r="K34" s="1"/>
      <c r="L34" s="1"/>
    </row>
    <row r="35" spans="1:12" ht="12.75">
      <c r="A35" s="6">
        <v>11</v>
      </c>
      <c r="B35" s="19" t="s">
        <v>119</v>
      </c>
      <c r="C35" s="8"/>
      <c r="D35" s="180"/>
      <c r="E35" s="181"/>
      <c r="F35" s="182"/>
      <c r="G35" s="183"/>
      <c r="H35" s="33"/>
      <c r="I35" s="66" t="s">
        <v>112</v>
      </c>
      <c r="J35" s="66" t="s">
        <v>112</v>
      </c>
      <c r="K35" s="66" t="s">
        <v>112</v>
      </c>
      <c r="L35" s="66" t="s">
        <v>112</v>
      </c>
    </row>
    <row r="36" spans="1:12" ht="12.75">
      <c r="A36" s="39" t="s">
        <v>60</v>
      </c>
      <c r="B36" s="16" t="s">
        <v>85</v>
      </c>
      <c r="C36" s="4" t="s">
        <v>81</v>
      </c>
      <c r="D36" s="180">
        <v>16</v>
      </c>
      <c r="E36" s="181"/>
      <c r="F36" s="182"/>
      <c r="G36" s="183"/>
      <c r="H36" s="33"/>
      <c r="I36" s="46"/>
      <c r="J36" s="1"/>
      <c r="K36" s="1"/>
      <c r="L36" s="1"/>
    </row>
    <row r="37" spans="1:12" ht="12.75">
      <c r="A37" s="39" t="s">
        <v>61</v>
      </c>
      <c r="B37" s="16" t="s">
        <v>86</v>
      </c>
      <c r="C37" s="4" t="s">
        <v>81</v>
      </c>
      <c r="D37" s="180">
        <v>2</v>
      </c>
      <c r="E37" s="181"/>
      <c r="F37" s="182"/>
      <c r="G37" s="183"/>
      <c r="H37" s="33"/>
      <c r="I37" s="46"/>
      <c r="J37" s="1"/>
      <c r="K37" s="1"/>
      <c r="L37" s="1"/>
    </row>
    <row r="38" spans="1:12" ht="12.75">
      <c r="A38" s="39">
        <v>12</v>
      </c>
      <c r="B38" s="16" t="s">
        <v>133</v>
      </c>
      <c r="C38" s="4"/>
      <c r="D38" s="180"/>
      <c r="E38" s="181"/>
      <c r="F38" s="180"/>
      <c r="G38" s="181"/>
      <c r="H38" s="33"/>
      <c r="I38" s="66" t="s">
        <v>112</v>
      </c>
      <c r="J38" s="66" t="s">
        <v>112</v>
      </c>
      <c r="K38" s="66" t="s">
        <v>112</v>
      </c>
      <c r="L38" s="66" t="s">
        <v>112</v>
      </c>
    </row>
    <row r="39" spans="1:12" ht="12.75">
      <c r="A39" s="39" t="s">
        <v>127</v>
      </c>
      <c r="B39" s="16" t="s">
        <v>134</v>
      </c>
      <c r="C39" s="4" t="s">
        <v>81</v>
      </c>
      <c r="D39" s="180">
        <v>4</v>
      </c>
      <c r="E39" s="181"/>
      <c r="F39" s="180"/>
      <c r="G39" s="181"/>
      <c r="H39" s="33"/>
      <c r="I39" s="46"/>
      <c r="J39" s="1"/>
      <c r="K39" s="1"/>
      <c r="L39" s="1"/>
    </row>
    <row r="40" spans="1:12" ht="12.75">
      <c r="A40" s="39">
        <v>13</v>
      </c>
      <c r="B40" s="16" t="s">
        <v>135</v>
      </c>
      <c r="C40" s="4"/>
      <c r="D40" s="180"/>
      <c r="E40" s="181"/>
      <c r="F40" s="180"/>
      <c r="G40" s="181"/>
      <c r="H40" s="33"/>
      <c r="I40" s="66" t="s">
        <v>112</v>
      </c>
      <c r="J40" s="66" t="s">
        <v>112</v>
      </c>
      <c r="K40" s="66" t="s">
        <v>112</v>
      </c>
      <c r="L40" s="66" t="s">
        <v>112</v>
      </c>
    </row>
    <row r="41" spans="1:12" ht="12.75">
      <c r="A41" s="39" t="s">
        <v>139</v>
      </c>
      <c r="B41" s="16" t="s">
        <v>136</v>
      </c>
      <c r="C41" s="4" t="s">
        <v>81</v>
      </c>
      <c r="D41" s="180">
        <v>228</v>
      </c>
      <c r="E41" s="181"/>
      <c r="F41" s="180"/>
      <c r="G41" s="181"/>
      <c r="H41" s="33"/>
      <c r="I41" s="46"/>
      <c r="J41" s="1"/>
      <c r="K41" s="1"/>
      <c r="L41" s="1"/>
    </row>
    <row r="42" spans="1:12" ht="12.75">
      <c r="A42" s="6">
        <v>14</v>
      </c>
      <c r="B42" s="16" t="s">
        <v>108</v>
      </c>
      <c r="C42" s="8"/>
      <c r="D42" s="180"/>
      <c r="E42" s="181"/>
      <c r="F42" s="182"/>
      <c r="G42" s="183"/>
      <c r="H42" s="33"/>
      <c r="I42" s="66" t="s">
        <v>112</v>
      </c>
      <c r="J42" s="66" t="s">
        <v>112</v>
      </c>
      <c r="K42" s="66" t="s">
        <v>112</v>
      </c>
      <c r="L42" s="66" t="s">
        <v>112</v>
      </c>
    </row>
    <row r="43" spans="1:12" s="18" customFormat="1" ht="12.75">
      <c r="A43" s="39" t="s">
        <v>140</v>
      </c>
      <c r="B43" s="16" t="s">
        <v>88</v>
      </c>
      <c r="C43" s="4" t="s">
        <v>81</v>
      </c>
      <c r="D43" s="180">
        <v>62</v>
      </c>
      <c r="E43" s="181"/>
      <c r="F43" s="182"/>
      <c r="G43" s="183"/>
      <c r="H43" s="33"/>
      <c r="I43" s="47"/>
      <c r="J43" s="16"/>
      <c r="K43" s="16"/>
      <c r="L43" s="16"/>
    </row>
    <row r="44" spans="1:12" s="18" customFormat="1" ht="12.75">
      <c r="A44" s="39" t="s">
        <v>141</v>
      </c>
      <c r="B44" s="16" t="s">
        <v>89</v>
      </c>
      <c r="C44" s="4" t="s">
        <v>81</v>
      </c>
      <c r="D44" s="180">
        <v>26</v>
      </c>
      <c r="E44" s="181"/>
      <c r="F44" s="182"/>
      <c r="G44" s="183"/>
      <c r="H44" s="33"/>
      <c r="I44" s="47"/>
      <c r="J44" s="16"/>
      <c r="K44" s="16"/>
      <c r="L44" s="16"/>
    </row>
    <row r="45" spans="1:12" ht="12.75" customHeight="1">
      <c r="A45" s="6">
        <v>15</v>
      </c>
      <c r="B45" s="19" t="s">
        <v>109</v>
      </c>
      <c r="C45" s="8"/>
      <c r="D45" s="180"/>
      <c r="E45" s="181"/>
      <c r="F45" s="182"/>
      <c r="G45" s="183"/>
      <c r="H45" s="32"/>
      <c r="I45" s="66" t="s">
        <v>112</v>
      </c>
      <c r="J45" s="66" t="s">
        <v>112</v>
      </c>
      <c r="K45" s="66" t="s">
        <v>112</v>
      </c>
      <c r="L45" s="66" t="s">
        <v>112</v>
      </c>
    </row>
    <row r="46" spans="1:12" s="18" customFormat="1" ht="12.75">
      <c r="A46" s="39" t="s">
        <v>142</v>
      </c>
      <c r="B46" s="16" t="s">
        <v>88</v>
      </c>
      <c r="C46" s="4" t="s">
        <v>81</v>
      </c>
      <c r="D46" s="180">
        <v>62</v>
      </c>
      <c r="E46" s="181"/>
      <c r="F46" s="182"/>
      <c r="G46" s="183"/>
      <c r="H46" s="33"/>
      <c r="I46" s="47"/>
      <c r="J46" s="16"/>
      <c r="K46" s="16"/>
      <c r="L46" s="16"/>
    </row>
    <row r="47" spans="1:12" s="18" customFormat="1" ht="12.75">
      <c r="A47" s="39" t="s">
        <v>143</v>
      </c>
      <c r="B47" s="16" t="s">
        <v>89</v>
      </c>
      <c r="C47" s="4" t="s">
        <v>81</v>
      </c>
      <c r="D47" s="180">
        <v>26</v>
      </c>
      <c r="E47" s="181"/>
      <c r="F47" s="182"/>
      <c r="G47" s="183"/>
      <c r="H47" s="33"/>
      <c r="I47" s="47"/>
      <c r="J47" s="16"/>
      <c r="K47" s="16"/>
      <c r="L47" s="16"/>
    </row>
    <row r="48" spans="1:12" ht="25.5">
      <c r="A48" s="6">
        <v>16</v>
      </c>
      <c r="B48" s="19" t="s">
        <v>101</v>
      </c>
      <c r="C48" s="8" t="s">
        <v>31</v>
      </c>
      <c r="D48" s="197" t="s">
        <v>32</v>
      </c>
      <c r="E48" s="198"/>
      <c r="F48" s="199" t="s">
        <v>106</v>
      </c>
      <c r="G48" s="200"/>
      <c r="H48" s="34" t="s">
        <v>33</v>
      </c>
      <c r="I48" s="66" t="s">
        <v>112</v>
      </c>
      <c r="J48" s="66" t="s">
        <v>112</v>
      </c>
      <c r="K48" s="66" t="s">
        <v>112</v>
      </c>
      <c r="L48" s="66" t="s">
        <v>112</v>
      </c>
    </row>
    <row r="49" spans="1:12" s="22" customFormat="1" ht="12.75">
      <c r="A49" s="40" t="s">
        <v>144</v>
      </c>
      <c r="B49" s="16" t="s">
        <v>88</v>
      </c>
      <c r="C49" s="35">
        <v>62</v>
      </c>
      <c r="D49" s="195">
        <f>C49*(PI()*76.1/1000)*0.44*2</f>
        <v>13.043942963187279</v>
      </c>
      <c r="E49" s="222"/>
      <c r="F49" s="182">
        <v>0.26</v>
      </c>
      <c r="G49" s="183"/>
      <c r="H49" s="33">
        <f>D49*F49</f>
        <v>3.3914251704286924</v>
      </c>
      <c r="I49" s="46"/>
      <c r="J49" s="1"/>
      <c r="K49" s="1"/>
      <c r="L49" s="1"/>
    </row>
    <row r="50" spans="1:19" s="22" customFormat="1" ht="12.75">
      <c r="A50" s="40" t="s">
        <v>145</v>
      </c>
      <c r="B50" s="16" t="s">
        <v>89</v>
      </c>
      <c r="C50" s="35">
        <v>26</v>
      </c>
      <c r="D50" s="195">
        <f>C50*(PI()*88.9/1000)*0.44*2</f>
        <v>6.390099988366555</v>
      </c>
      <c r="E50" s="222"/>
      <c r="F50" s="182">
        <v>0.26</v>
      </c>
      <c r="G50" s="183"/>
      <c r="H50" s="33">
        <f>D50*F50</f>
        <v>1.6614259969753045</v>
      </c>
      <c r="I50" s="48"/>
      <c r="J50" s="19"/>
      <c r="K50" s="19"/>
      <c r="L50" s="19"/>
      <c r="M50" s="21"/>
      <c r="N50" s="21"/>
      <c r="O50" s="21"/>
      <c r="P50" s="21"/>
      <c r="Q50" s="21"/>
      <c r="R50" s="21"/>
      <c r="S50" s="21"/>
    </row>
    <row r="51" spans="1:19" s="22" customFormat="1" ht="12.75">
      <c r="A51" s="40">
        <v>17</v>
      </c>
      <c r="B51" s="1" t="s">
        <v>137</v>
      </c>
      <c r="C51" s="35"/>
      <c r="D51" s="180"/>
      <c r="E51" s="181"/>
      <c r="F51" s="180"/>
      <c r="G51" s="181"/>
      <c r="H51" s="33"/>
      <c r="I51" s="66" t="s">
        <v>112</v>
      </c>
      <c r="J51" s="66" t="s">
        <v>112</v>
      </c>
      <c r="K51" s="66" t="s">
        <v>112</v>
      </c>
      <c r="L51" s="66" t="s">
        <v>112</v>
      </c>
      <c r="M51" s="21"/>
      <c r="N51" s="21"/>
      <c r="O51" s="21"/>
      <c r="P51" s="21"/>
      <c r="Q51" s="21"/>
      <c r="R51" s="21"/>
      <c r="S51" s="21"/>
    </row>
    <row r="52" spans="1:19" s="22" customFormat="1" ht="12.75">
      <c r="A52" s="40" t="s">
        <v>146</v>
      </c>
      <c r="B52" s="1" t="s">
        <v>138</v>
      </c>
      <c r="C52" s="4" t="s">
        <v>81</v>
      </c>
      <c r="D52" s="180">
        <v>126</v>
      </c>
      <c r="E52" s="181"/>
      <c r="F52" s="180"/>
      <c r="G52" s="181"/>
      <c r="H52" s="33"/>
      <c r="I52" s="48"/>
      <c r="J52" s="19"/>
      <c r="K52" s="19"/>
      <c r="L52" s="19"/>
      <c r="M52" s="21"/>
      <c r="N52" s="21"/>
      <c r="O52" s="21"/>
      <c r="P52" s="21"/>
      <c r="Q52" s="21"/>
      <c r="R52" s="21"/>
      <c r="S52" s="21"/>
    </row>
    <row r="53" spans="1:12" ht="12.75">
      <c r="A53" s="6">
        <v>18</v>
      </c>
      <c r="B53" s="1" t="s">
        <v>23</v>
      </c>
      <c r="C53" s="7" t="s">
        <v>62</v>
      </c>
      <c r="D53" s="180">
        <v>294</v>
      </c>
      <c r="E53" s="181"/>
      <c r="F53" s="182"/>
      <c r="G53" s="183"/>
      <c r="H53" s="32"/>
      <c r="I53" s="46"/>
      <c r="J53" s="1"/>
      <c r="K53" s="1"/>
      <c r="L53" s="1"/>
    </row>
    <row r="54" spans="1:12" ht="12.75">
      <c r="A54" s="37" t="s">
        <v>27</v>
      </c>
      <c r="B54" s="223" t="s">
        <v>24</v>
      </c>
      <c r="C54" s="224"/>
      <c r="D54" s="224"/>
      <c r="E54" s="224"/>
      <c r="F54" s="224"/>
      <c r="G54" s="224"/>
      <c r="H54" s="225"/>
      <c r="I54" s="150" t="s">
        <v>350</v>
      </c>
      <c r="J54" s="150" t="s">
        <v>350</v>
      </c>
      <c r="K54" s="150" t="s">
        <v>350</v>
      </c>
      <c r="L54" s="150" t="s">
        <v>350</v>
      </c>
    </row>
    <row r="55" spans="1:12" ht="25.5">
      <c r="A55" s="2">
        <v>1</v>
      </c>
      <c r="B55" s="24" t="s">
        <v>1</v>
      </c>
      <c r="C55" s="8"/>
      <c r="D55" s="197"/>
      <c r="E55" s="198"/>
      <c r="F55" s="199"/>
      <c r="G55" s="200"/>
      <c r="H55" s="33"/>
      <c r="I55" s="66" t="s">
        <v>112</v>
      </c>
      <c r="J55" s="66" t="s">
        <v>112</v>
      </c>
      <c r="K55" s="66" t="s">
        <v>112</v>
      </c>
      <c r="L55" s="66" t="s">
        <v>112</v>
      </c>
    </row>
    <row r="56" spans="1:12" ht="12.75">
      <c r="A56" s="40" t="s">
        <v>39</v>
      </c>
      <c r="B56" s="16" t="s">
        <v>87</v>
      </c>
      <c r="C56" s="4" t="s">
        <v>62</v>
      </c>
      <c r="D56" s="189">
        <v>12</v>
      </c>
      <c r="E56" s="190"/>
      <c r="F56" s="182">
        <v>3.56</v>
      </c>
      <c r="G56" s="183"/>
      <c r="H56" s="33">
        <f>D56*F56</f>
        <v>42.72</v>
      </c>
      <c r="I56" s="46"/>
      <c r="J56" s="1"/>
      <c r="K56" s="1"/>
      <c r="L56" s="1"/>
    </row>
    <row r="57" spans="1:12" ht="12.75">
      <c r="A57" s="40" t="s">
        <v>40</v>
      </c>
      <c r="B57" s="16" t="s">
        <v>88</v>
      </c>
      <c r="C57" s="4" t="s">
        <v>62</v>
      </c>
      <c r="D57" s="189">
        <v>32</v>
      </c>
      <c r="E57" s="190"/>
      <c r="F57" s="182">
        <v>7.11</v>
      </c>
      <c r="G57" s="183"/>
      <c r="H57" s="33">
        <f>D57*F57</f>
        <v>227.52</v>
      </c>
      <c r="I57" s="46"/>
      <c r="J57" s="1"/>
      <c r="K57" s="1"/>
      <c r="L57" s="1"/>
    </row>
    <row r="58" spans="1:12" ht="12.75">
      <c r="A58" s="40" t="s">
        <v>41</v>
      </c>
      <c r="B58" s="16" t="s">
        <v>89</v>
      </c>
      <c r="C58" s="4" t="s">
        <v>62</v>
      </c>
      <c r="D58" s="189">
        <v>10</v>
      </c>
      <c r="E58" s="190"/>
      <c r="F58" s="182">
        <v>8.38</v>
      </c>
      <c r="G58" s="183"/>
      <c r="H58" s="33">
        <f>D58*F58</f>
        <v>83.80000000000001</v>
      </c>
      <c r="I58" s="46"/>
      <c r="J58" s="1"/>
      <c r="K58" s="1"/>
      <c r="L58" s="1"/>
    </row>
    <row r="59" spans="1:12" s="18" customFormat="1" ht="25.5">
      <c r="A59" s="6">
        <v>2</v>
      </c>
      <c r="B59" s="24" t="s">
        <v>92</v>
      </c>
      <c r="C59" s="8"/>
      <c r="D59" s="187"/>
      <c r="E59" s="188"/>
      <c r="F59" s="182"/>
      <c r="G59" s="183"/>
      <c r="H59" s="33"/>
      <c r="I59" s="66" t="s">
        <v>112</v>
      </c>
      <c r="J59" s="66" t="s">
        <v>112</v>
      </c>
      <c r="K59" s="66" t="s">
        <v>112</v>
      </c>
      <c r="L59" s="66" t="s">
        <v>112</v>
      </c>
    </row>
    <row r="60" spans="1:12" s="18" customFormat="1" ht="12.75">
      <c r="A60" s="39" t="s">
        <v>43</v>
      </c>
      <c r="B60" s="16" t="s">
        <v>110</v>
      </c>
      <c r="C60" s="5" t="s">
        <v>81</v>
      </c>
      <c r="D60" s="187">
        <v>4</v>
      </c>
      <c r="E60" s="188"/>
      <c r="F60" s="182">
        <v>1.9</v>
      </c>
      <c r="G60" s="183"/>
      <c r="H60" s="33">
        <f>D60*F60</f>
        <v>7.6</v>
      </c>
      <c r="I60" s="47"/>
      <c r="J60" s="16"/>
      <c r="K60" s="16"/>
      <c r="L60" s="16"/>
    </row>
    <row r="61" spans="1:12" s="18" customFormat="1" ht="12.75">
      <c r="A61" s="39" t="s">
        <v>44</v>
      </c>
      <c r="B61" s="16" t="s">
        <v>4</v>
      </c>
      <c r="C61" s="5" t="s">
        <v>81</v>
      </c>
      <c r="D61" s="187">
        <v>4</v>
      </c>
      <c r="E61" s="188"/>
      <c r="F61" s="182">
        <v>4.2</v>
      </c>
      <c r="G61" s="183"/>
      <c r="H61" s="33">
        <f>D61*F61</f>
        <v>16.8</v>
      </c>
      <c r="I61" s="47"/>
      <c r="J61" s="16"/>
      <c r="K61" s="16"/>
      <c r="L61" s="16"/>
    </row>
    <row r="62" spans="1:12" s="18" customFormat="1" ht="28.5">
      <c r="A62" s="6">
        <v>3</v>
      </c>
      <c r="B62" s="16" t="s">
        <v>152</v>
      </c>
      <c r="C62" s="8"/>
      <c r="D62" s="187"/>
      <c r="E62" s="188"/>
      <c r="F62" s="182"/>
      <c r="G62" s="183"/>
      <c r="H62" s="33"/>
      <c r="I62" s="66" t="s">
        <v>112</v>
      </c>
      <c r="J62" s="66" t="s">
        <v>112</v>
      </c>
      <c r="K62" s="66" t="s">
        <v>112</v>
      </c>
      <c r="L62" s="66" t="s">
        <v>112</v>
      </c>
    </row>
    <row r="63" spans="1:12" ht="12.75">
      <c r="A63" s="40" t="s">
        <v>47</v>
      </c>
      <c r="B63" s="16" t="s">
        <v>90</v>
      </c>
      <c r="C63" s="5" t="s">
        <v>81</v>
      </c>
      <c r="D63" s="187">
        <v>4</v>
      </c>
      <c r="E63" s="188"/>
      <c r="F63" s="182">
        <v>0.47</v>
      </c>
      <c r="G63" s="183"/>
      <c r="H63" s="33">
        <f>D63*F63</f>
        <v>1.88</v>
      </c>
      <c r="I63" s="46"/>
      <c r="J63" s="1"/>
      <c r="K63" s="1"/>
      <c r="L63" s="1"/>
    </row>
    <row r="64" spans="1:12" ht="12.75">
      <c r="A64" s="40" t="s">
        <v>48</v>
      </c>
      <c r="B64" s="16" t="s">
        <v>91</v>
      </c>
      <c r="C64" s="5" t="s">
        <v>81</v>
      </c>
      <c r="D64" s="187">
        <v>22</v>
      </c>
      <c r="E64" s="188"/>
      <c r="F64" s="182">
        <v>1.26</v>
      </c>
      <c r="G64" s="183"/>
      <c r="H64" s="33">
        <f>D64*F64</f>
        <v>27.72</v>
      </c>
      <c r="I64" s="46"/>
      <c r="J64" s="1"/>
      <c r="K64" s="1"/>
      <c r="L64" s="1"/>
    </row>
    <row r="65" spans="1:12" ht="12.75">
      <c r="A65" s="40" t="s">
        <v>49</v>
      </c>
      <c r="B65" s="16" t="s">
        <v>122</v>
      </c>
      <c r="C65" s="5" t="s">
        <v>81</v>
      </c>
      <c r="D65" s="187">
        <v>2</v>
      </c>
      <c r="E65" s="188"/>
      <c r="F65" s="182">
        <v>1.96</v>
      </c>
      <c r="G65" s="183"/>
      <c r="H65" s="33">
        <f>D65*F65</f>
        <v>3.92</v>
      </c>
      <c r="I65" s="46"/>
      <c r="J65" s="1"/>
      <c r="K65" s="1"/>
      <c r="L65" s="1"/>
    </row>
    <row r="66" spans="1:12" s="22" customFormat="1" ht="38.25">
      <c r="A66" s="2">
        <v>4</v>
      </c>
      <c r="B66" s="16" t="s">
        <v>72</v>
      </c>
      <c r="C66" s="41"/>
      <c r="D66" s="187"/>
      <c r="E66" s="188"/>
      <c r="F66" s="182"/>
      <c r="G66" s="183"/>
      <c r="H66" s="33"/>
      <c r="I66" s="66" t="s">
        <v>112</v>
      </c>
      <c r="J66" s="66" t="s">
        <v>112</v>
      </c>
      <c r="K66" s="66" t="s">
        <v>112</v>
      </c>
      <c r="L66" s="66" t="s">
        <v>112</v>
      </c>
    </row>
    <row r="67" spans="1:12" s="22" customFormat="1" ht="12.75">
      <c r="A67" s="40" t="s">
        <v>50</v>
      </c>
      <c r="B67" s="16" t="s">
        <v>9</v>
      </c>
      <c r="C67" s="5" t="s">
        <v>81</v>
      </c>
      <c r="D67" s="187">
        <v>14</v>
      </c>
      <c r="E67" s="188"/>
      <c r="F67" s="182">
        <v>0.17</v>
      </c>
      <c r="G67" s="183"/>
      <c r="H67" s="33">
        <f>D67*F67</f>
        <v>2.3800000000000003</v>
      </c>
      <c r="I67" s="46"/>
      <c r="J67" s="1"/>
      <c r="K67" s="1"/>
      <c r="L67" s="1"/>
    </row>
    <row r="68" spans="1:12" ht="12.75">
      <c r="A68" s="6">
        <v>5</v>
      </c>
      <c r="B68" s="24" t="s">
        <v>108</v>
      </c>
      <c r="C68" s="41"/>
      <c r="D68" s="187"/>
      <c r="E68" s="188"/>
      <c r="F68" s="182"/>
      <c r="G68" s="183"/>
      <c r="H68" s="33"/>
      <c r="I68" s="66" t="s">
        <v>112</v>
      </c>
      <c r="J68" s="66" t="s">
        <v>112</v>
      </c>
      <c r="K68" s="66" t="s">
        <v>112</v>
      </c>
      <c r="L68" s="66" t="s">
        <v>112</v>
      </c>
    </row>
    <row r="69" spans="1:12" ht="12.75">
      <c r="A69" s="39" t="s">
        <v>54</v>
      </c>
      <c r="B69" s="16" t="s">
        <v>87</v>
      </c>
      <c r="C69" s="4" t="s">
        <v>81</v>
      </c>
      <c r="D69" s="187">
        <v>20</v>
      </c>
      <c r="E69" s="188"/>
      <c r="F69" s="182"/>
      <c r="G69" s="183"/>
      <c r="H69" s="33"/>
      <c r="I69" s="46"/>
      <c r="J69" s="1"/>
      <c r="K69" s="1"/>
      <c r="L69" s="1"/>
    </row>
    <row r="70" spans="1:12" ht="12.75">
      <c r="A70" s="39" t="s">
        <v>128</v>
      </c>
      <c r="B70" s="16" t="s">
        <v>88</v>
      </c>
      <c r="C70" s="4" t="s">
        <v>81</v>
      </c>
      <c r="D70" s="187">
        <v>80</v>
      </c>
      <c r="E70" s="188"/>
      <c r="F70" s="182"/>
      <c r="G70" s="183"/>
      <c r="H70" s="33"/>
      <c r="I70" s="46"/>
      <c r="J70" s="1"/>
      <c r="K70" s="1"/>
      <c r="L70" s="1"/>
    </row>
    <row r="71" spans="1:12" s="18" customFormat="1" ht="12.75">
      <c r="A71" s="39" t="s">
        <v>129</v>
      </c>
      <c r="B71" s="16" t="s">
        <v>89</v>
      </c>
      <c r="C71" s="4" t="s">
        <v>81</v>
      </c>
      <c r="D71" s="187">
        <v>8</v>
      </c>
      <c r="E71" s="188"/>
      <c r="F71" s="182"/>
      <c r="G71" s="183"/>
      <c r="H71" s="33"/>
      <c r="I71" s="47"/>
      <c r="J71" s="16"/>
      <c r="K71" s="16"/>
      <c r="L71" s="16"/>
    </row>
    <row r="72" spans="1:12" ht="12.75" customHeight="1">
      <c r="A72" s="6">
        <v>6</v>
      </c>
      <c r="B72" s="25" t="s">
        <v>109</v>
      </c>
      <c r="C72" s="8"/>
      <c r="D72" s="187"/>
      <c r="E72" s="188"/>
      <c r="F72" s="182"/>
      <c r="G72" s="183"/>
      <c r="H72" s="33"/>
      <c r="I72" s="66" t="s">
        <v>112</v>
      </c>
      <c r="J72" s="66" t="s">
        <v>112</v>
      </c>
      <c r="K72" s="66" t="s">
        <v>112</v>
      </c>
      <c r="L72" s="66" t="s">
        <v>112</v>
      </c>
    </row>
    <row r="73" spans="1:12" ht="12.75" customHeight="1">
      <c r="A73" s="39" t="s">
        <v>56</v>
      </c>
      <c r="B73" s="16" t="s">
        <v>87</v>
      </c>
      <c r="C73" s="4" t="s">
        <v>81</v>
      </c>
      <c r="D73" s="187">
        <v>20</v>
      </c>
      <c r="E73" s="188"/>
      <c r="F73" s="182"/>
      <c r="G73" s="183"/>
      <c r="H73" s="33"/>
      <c r="I73" s="46"/>
      <c r="J73" s="1"/>
      <c r="K73" s="1"/>
      <c r="L73" s="1"/>
    </row>
    <row r="74" spans="1:12" ht="12.75">
      <c r="A74" s="39" t="s">
        <v>57</v>
      </c>
      <c r="B74" s="16" t="s">
        <v>88</v>
      </c>
      <c r="C74" s="4" t="s">
        <v>81</v>
      </c>
      <c r="D74" s="187">
        <v>80</v>
      </c>
      <c r="E74" s="188"/>
      <c r="F74" s="182"/>
      <c r="G74" s="183"/>
      <c r="H74" s="33"/>
      <c r="I74" s="46"/>
      <c r="J74" s="1"/>
      <c r="K74" s="1"/>
      <c r="L74" s="1"/>
    </row>
    <row r="75" spans="1:12" s="18" customFormat="1" ht="12.75">
      <c r="A75" s="39" t="s">
        <v>147</v>
      </c>
      <c r="B75" s="16" t="s">
        <v>89</v>
      </c>
      <c r="C75" s="4" t="s">
        <v>81</v>
      </c>
      <c r="D75" s="187">
        <v>8</v>
      </c>
      <c r="E75" s="188"/>
      <c r="F75" s="182"/>
      <c r="G75" s="183"/>
      <c r="H75" s="33"/>
      <c r="I75" s="47"/>
      <c r="J75" s="16"/>
      <c r="K75" s="16"/>
      <c r="L75" s="16"/>
    </row>
    <row r="76" spans="1:12" ht="25.5">
      <c r="A76" s="6">
        <v>7</v>
      </c>
      <c r="B76" s="25" t="s">
        <v>101</v>
      </c>
      <c r="C76" s="8" t="s">
        <v>31</v>
      </c>
      <c r="D76" s="197" t="s">
        <v>32</v>
      </c>
      <c r="E76" s="198"/>
      <c r="F76" s="199" t="s">
        <v>106</v>
      </c>
      <c r="G76" s="200"/>
      <c r="H76" s="34" t="s">
        <v>33</v>
      </c>
      <c r="I76" s="66" t="s">
        <v>112</v>
      </c>
      <c r="J76" s="66" t="s">
        <v>112</v>
      </c>
      <c r="K76" s="66" t="s">
        <v>112</v>
      </c>
      <c r="L76" s="66" t="s">
        <v>112</v>
      </c>
    </row>
    <row r="77" spans="1:12" ht="12.75">
      <c r="A77" s="39" t="s">
        <v>55</v>
      </c>
      <c r="B77" s="16" t="s">
        <v>64</v>
      </c>
      <c r="C77" s="52">
        <v>20</v>
      </c>
      <c r="D77" s="201">
        <f>C77*(PI()*48.3/1000)*0.1*2</f>
        <v>0.606955700673548</v>
      </c>
      <c r="E77" s="202"/>
      <c r="F77" s="201">
        <v>0.26</v>
      </c>
      <c r="G77" s="202"/>
      <c r="H77" s="53">
        <f>D77*F77</f>
        <v>0.15780848217512247</v>
      </c>
      <c r="I77" s="46"/>
      <c r="J77" s="51"/>
      <c r="K77" s="1"/>
      <c r="L77" s="1"/>
    </row>
    <row r="78" spans="1:12" s="22" customFormat="1" ht="12.75">
      <c r="A78" s="39" t="s">
        <v>123</v>
      </c>
      <c r="B78" s="16" t="s">
        <v>65</v>
      </c>
      <c r="C78" s="52">
        <v>80</v>
      </c>
      <c r="D78" s="201">
        <f>C78*(PI()*76.1/1000)*0.1*2</f>
        <v>3.825203215010932</v>
      </c>
      <c r="E78" s="202"/>
      <c r="F78" s="201">
        <v>0.26</v>
      </c>
      <c r="G78" s="202"/>
      <c r="H78" s="53">
        <f>D78*F78</f>
        <v>0.9945528359028423</v>
      </c>
      <c r="I78" s="46"/>
      <c r="J78" s="51"/>
      <c r="K78" s="1"/>
      <c r="L78" s="1"/>
    </row>
    <row r="79" spans="1:19" s="22" customFormat="1" ht="12.75">
      <c r="A79" s="39" t="s">
        <v>148</v>
      </c>
      <c r="B79" s="16" t="s">
        <v>66</v>
      </c>
      <c r="C79" s="52">
        <v>8</v>
      </c>
      <c r="D79" s="201">
        <f>C79*(PI()*88.9/1000)*0.1*2</f>
        <v>0.44686013904661226</v>
      </c>
      <c r="E79" s="202"/>
      <c r="F79" s="201">
        <v>0.26</v>
      </c>
      <c r="G79" s="202"/>
      <c r="H79" s="53">
        <f>D79*F79</f>
        <v>0.11618363615211919</v>
      </c>
      <c r="I79" s="50"/>
      <c r="J79" s="51"/>
      <c r="K79" s="25"/>
      <c r="L79" s="25"/>
      <c r="M79" s="27"/>
      <c r="N79" s="27"/>
      <c r="O79" s="27"/>
      <c r="P79" s="27"/>
      <c r="Q79" s="27"/>
      <c r="R79" s="27"/>
      <c r="S79" s="27"/>
    </row>
    <row r="80" spans="1:12" ht="22.5" customHeight="1">
      <c r="A80" s="6">
        <v>8</v>
      </c>
      <c r="B80" s="25" t="s">
        <v>7</v>
      </c>
      <c r="C80" s="8" t="s">
        <v>82</v>
      </c>
      <c r="D80" s="197" t="s">
        <v>32</v>
      </c>
      <c r="E80" s="198"/>
      <c r="F80" s="199" t="s">
        <v>106</v>
      </c>
      <c r="G80" s="200"/>
      <c r="H80" s="34" t="s">
        <v>33</v>
      </c>
      <c r="I80" s="66" t="s">
        <v>112</v>
      </c>
      <c r="J80" s="66" t="s">
        <v>112</v>
      </c>
      <c r="K80" s="66" t="s">
        <v>112</v>
      </c>
      <c r="L80" s="66" t="s">
        <v>112</v>
      </c>
    </row>
    <row r="81" spans="1:12" s="22" customFormat="1" ht="12.75">
      <c r="A81" s="39" t="s">
        <v>58</v>
      </c>
      <c r="B81" s="16" t="s">
        <v>64</v>
      </c>
      <c r="C81" s="36">
        <v>12</v>
      </c>
      <c r="D81" s="201">
        <f>C81*(PI()*48.3/1000)*2</f>
        <v>3.641734204041288</v>
      </c>
      <c r="E81" s="202"/>
      <c r="F81" s="201">
        <v>0.26</v>
      </c>
      <c r="G81" s="202"/>
      <c r="H81" s="53">
        <f>D81*F81</f>
        <v>0.9468508930507349</v>
      </c>
      <c r="I81" s="46"/>
      <c r="J81" s="1"/>
      <c r="K81" s="1"/>
      <c r="L81" s="1"/>
    </row>
    <row r="82" spans="1:12" s="22" customFormat="1" ht="12.75">
      <c r="A82" s="39" t="s">
        <v>59</v>
      </c>
      <c r="B82" s="16" t="s">
        <v>65</v>
      </c>
      <c r="C82" s="36">
        <v>32</v>
      </c>
      <c r="D82" s="201">
        <f>C82*(PI()*76.1/1000)*2</f>
        <v>15.300812860043727</v>
      </c>
      <c r="E82" s="202"/>
      <c r="F82" s="201">
        <v>0.26</v>
      </c>
      <c r="G82" s="202"/>
      <c r="H82" s="53">
        <f>D82*F82</f>
        <v>3.978211343611369</v>
      </c>
      <c r="I82" s="46"/>
      <c r="J82" s="1"/>
      <c r="K82" s="1"/>
      <c r="L82" s="1"/>
    </row>
    <row r="83" spans="1:19" s="22" customFormat="1" ht="12.75">
      <c r="A83" s="39" t="s">
        <v>149</v>
      </c>
      <c r="B83" s="16" t="s">
        <v>66</v>
      </c>
      <c r="C83" s="36">
        <v>10</v>
      </c>
      <c r="D83" s="201">
        <f>C83*(PI()*88.9/1000)*2</f>
        <v>5.585751738082653</v>
      </c>
      <c r="E83" s="202"/>
      <c r="F83" s="201">
        <v>0.26</v>
      </c>
      <c r="G83" s="202"/>
      <c r="H83" s="53">
        <f>D83*F83</f>
        <v>1.45229545190149</v>
      </c>
      <c r="I83" s="50"/>
      <c r="J83" s="25"/>
      <c r="K83" s="25"/>
      <c r="L83" s="25"/>
      <c r="M83" s="27"/>
      <c r="N83" s="27"/>
      <c r="O83" s="27"/>
      <c r="P83" s="27"/>
      <c r="Q83" s="27"/>
      <c r="R83" s="27"/>
      <c r="S83" s="27"/>
    </row>
    <row r="84" spans="1:12" s="22" customFormat="1" ht="16.5">
      <c r="A84" s="238">
        <v>9</v>
      </c>
      <c r="B84" s="204" t="s">
        <v>8</v>
      </c>
      <c r="C84" s="8" t="s">
        <v>102</v>
      </c>
      <c r="D84" s="197" t="s">
        <v>103</v>
      </c>
      <c r="E84" s="198"/>
      <c r="F84" s="199" t="s">
        <v>106</v>
      </c>
      <c r="G84" s="200"/>
      <c r="H84" s="34" t="s">
        <v>33</v>
      </c>
      <c r="I84" s="66" t="s">
        <v>112</v>
      </c>
      <c r="J84" s="66" t="s">
        <v>112</v>
      </c>
      <c r="K84" s="66" t="s">
        <v>112</v>
      </c>
      <c r="L84" s="66" t="s">
        <v>112</v>
      </c>
    </row>
    <row r="85" spans="1:12" s="22" customFormat="1" ht="12.75">
      <c r="A85" s="239"/>
      <c r="B85" s="205"/>
      <c r="C85" s="36">
        <v>0.5</v>
      </c>
      <c r="D85" s="201">
        <f>C85*2</f>
        <v>1</v>
      </c>
      <c r="E85" s="202"/>
      <c r="F85" s="201">
        <v>0.26</v>
      </c>
      <c r="G85" s="202"/>
      <c r="H85" s="53">
        <f>D85*F85</f>
        <v>0.26</v>
      </c>
      <c r="I85" s="46"/>
      <c r="J85" s="1"/>
      <c r="K85" s="1"/>
      <c r="L85" s="1"/>
    </row>
    <row r="86" spans="1:12" s="13" customFormat="1" ht="12.75">
      <c r="A86" s="9" t="s">
        <v>78</v>
      </c>
      <c r="B86" s="184" t="s">
        <v>69</v>
      </c>
      <c r="C86" s="185"/>
      <c r="D86" s="185"/>
      <c r="E86" s="185"/>
      <c r="F86" s="185"/>
      <c r="G86" s="185"/>
      <c r="H86" s="186"/>
      <c r="I86" s="150" t="s">
        <v>350</v>
      </c>
      <c r="J86" s="150" t="s">
        <v>350</v>
      </c>
      <c r="K86" s="150" t="s">
        <v>350</v>
      </c>
      <c r="L86" s="150" t="s">
        <v>350</v>
      </c>
    </row>
    <row r="87" spans="1:13" s="13" customFormat="1" ht="12.75">
      <c r="A87" s="2">
        <v>1</v>
      </c>
      <c r="B87" s="16" t="s">
        <v>5</v>
      </c>
      <c r="C87" s="4"/>
      <c r="D87" s="189"/>
      <c r="E87" s="190"/>
      <c r="F87" s="182"/>
      <c r="G87" s="183"/>
      <c r="H87" s="33"/>
      <c r="I87" s="66" t="s">
        <v>112</v>
      </c>
      <c r="J87" s="66" t="s">
        <v>112</v>
      </c>
      <c r="K87" s="66" t="s">
        <v>112</v>
      </c>
      <c r="L87" s="66" t="s">
        <v>112</v>
      </c>
      <c r="M87" s="26"/>
    </row>
    <row r="88" spans="1:12" s="18" customFormat="1" ht="12.75">
      <c r="A88" s="39" t="s">
        <v>39</v>
      </c>
      <c r="B88" s="16" t="s">
        <v>65</v>
      </c>
      <c r="C88" s="4" t="s">
        <v>62</v>
      </c>
      <c r="D88" s="189">
        <v>404</v>
      </c>
      <c r="E88" s="190"/>
      <c r="F88" s="182"/>
      <c r="G88" s="183"/>
      <c r="H88" s="33"/>
      <c r="I88" s="47"/>
      <c r="J88" s="16"/>
      <c r="K88" s="16"/>
      <c r="L88" s="16"/>
    </row>
    <row r="89" spans="1:12" s="18" customFormat="1" ht="12.75">
      <c r="A89" s="39" t="s">
        <v>40</v>
      </c>
      <c r="B89" s="16" t="s">
        <v>66</v>
      </c>
      <c r="C89" s="4" t="s">
        <v>62</v>
      </c>
      <c r="D89" s="189">
        <v>226</v>
      </c>
      <c r="E89" s="190"/>
      <c r="F89" s="182"/>
      <c r="G89" s="183"/>
      <c r="H89" s="33"/>
      <c r="I89" s="47"/>
      <c r="J89" s="16"/>
      <c r="K89" s="16"/>
      <c r="L89" s="16"/>
    </row>
    <row r="90" spans="1:12" ht="12.75">
      <c r="A90" s="6">
        <v>2</v>
      </c>
      <c r="B90" s="25" t="s">
        <v>6</v>
      </c>
      <c r="C90" s="8"/>
      <c r="D90" s="189"/>
      <c r="E90" s="190"/>
      <c r="F90" s="182"/>
      <c r="G90" s="183"/>
      <c r="H90" s="33"/>
      <c r="I90" s="66" t="s">
        <v>112</v>
      </c>
      <c r="J90" s="66" t="s">
        <v>112</v>
      </c>
      <c r="K90" s="66" t="s">
        <v>112</v>
      </c>
      <c r="L90" s="66" t="s">
        <v>112</v>
      </c>
    </row>
    <row r="91" spans="1:12" s="18" customFormat="1" ht="12.75">
      <c r="A91" s="39" t="s">
        <v>43</v>
      </c>
      <c r="B91" s="16" t="s">
        <v>65</v>
      </c>
      <c r="C91" s="4" t="s">
        <v>62</v>
      </c>
      <c r="D91" s="189">
        <v>404</v>
      </c>
      <c r="E91" s="190"/>
      <c r="F91" s="182"/>
      <c r="G91" s="183"/>
      <c r="H91" s="33"/>
      <c r="I91" s="47"/>
      <c r="J91" s="16"/>
      <c r="K91" s="16"/>
      <c r="L91" s="16"/>
    </row>
    <row r="92" spans="1:12" s="18" customFormat="1" ht="12.75">
      <c r="A92" s="39" t="s">
        <v>44</v>
      </c>
      <c r="B92" s="16" t="s">
        <v>66</v>
      </c>
      <c r="C92" s="4" t="s">
        <v>62</v>
      </c>
      <c r="D92" s="189">
        <v>226</v>
      </c>
      <c r="E92" s="190"/>
      <c r="F92" s="182"/>
      <c r="G92" s="183"/>
      <c r="H92" s="33"/>
      <c r="I92" s="47"/>
      <c r="J92" s="16"/>
      <c r="K92" s="16"/>
      <c r="L92" s="16"/>
    </row>
    <row r="93" spans="1:12" ht="12.75">
      <c r="A93" s="9" t="s">
        <v>79</v>
      </c>
      <c r="B93" s="171" t="s">
        <v>2</v>
      </c>
      <c r="C93" s="172"/>
      <c r="D93" s="172"/>
      <c r="E93" s="172"/>
      <c r="F93" s="172"/>
      <c r="G93" s="172"/>
      <c r="H93" s="173"/>
      <c r="I93" s="150" t="s">
        <v>350</v>
      </c>
      <c r="J93" s="150" t="s">
        <v>350</v>
      </c>
      <c r="K93" s="150" t="s">
        <v>350</v>
      </c>
      <c r="L93" s="150" t="s">
        <v>350</v>
      </c>
    </row>
    <row r="94" spans="1:12" ht="25.5">
      <c r="A94" s="6"/>
      <c r="B94" s="30" t="s">
        <v>3</v>
      </c>
      <c r="C94" s="8"/>
      <c r="D94" s="197"/>
      <c r="E94" s="198"/>
      <c r="F94" s="199"/>
      <c r="G94" s="200"/>
      <c r="H94" s="33"/>
      <c r="I94" s="66" t="s">
        <v>112</v>
      </c>
      <c r="J94" s="66" t="s">
        <v>112</v>
      </c>
      <c r="K94" s="66" t="s">
        <v>112</v>
      </c>
      <c r="L94" s="66" t="s">
        <v>112</v>
      </c>
    </row>
    <row r="95" spans="1:12" ht="42.75">
      <c r="A95" s="6">
        <v>1</v>
      </c>
      <c r="B95" s="24" t="s">
        <v>73</v>
      </c>
      <c r="C95" s="34" t="s">
        <v>10</v>
      </c>
      <c r="D95" s="199" t="s">
        <v>12</v>
      </c>
      <c r="E95" s="200"/>
      <c r="F95" s="199"/>
      <c r="G95" s="200"/>
      <c r="H95" s="33"/>
      <c r="I95" s="66" t="s">
        <v>112</v>
      </c>
      <c r="J95" s="66" t="s">
        <v>112</v>
      </c>
      <c r="K95" s="66" t="s">
        <v>112</v>
      </c>
      <c r="L95" s="66" t="s">
        <v>112</v>
      </c>
    </row>
    <row r="96" spans="1:12" ht="12.75">
      <c r="A96" s="39" t="s">
        <v>39</v>
      </c>
      <c r="B96" s="16" t="s">
        <v>93</v>
      </c>
      <c r="C96" s="36">
        <v>16</v>
      </c>
      <c r="D96" s="189">
        <f>C96*PI()*(76.1+2*50)/1000</f>
        <v>8.8517514607546</v>
      </c>
      <c r="E96" s="190"/>
      <c r="F96" s="182"/>
      <c r="G96" s="183"/>
      <c r="H96" s="33"/>
      <c r="I96" s="46"/>
      <c r="J96" s="1"/>
      <c r="K96" s="1"/>
      <c r="L96" s="1"/>
    </row>
    <row r="97" spans="1:12" ht="12.75">
      <c r="A97" s="39" t="s">
        <v>40</v>
      </c>
      <c r="B97" s="16" t="s">
        <v>94</v>
      </c>
      <c r="C97" s="36">
        <v>16</v>
      </c>
      <c r="D97" s="189">
        <f>C97*PI()*(76.1+2*30)/1000</f>
        <v>6.841132162457133</v>
      </c>
      <c r="E97" s="190"/>
      <c r="F97" s="182"/>
      <c r="G97" s="183"/>
      <c r="H97" s="33"/>
      <c r="I97" s="46"/>
      <c r="J97" s="1"/>
      <c r="K97" s="1"/>
      <c r="L97" s="1"/>
    </row>
    <row r="98" spans="1:12" ht="12.75">
      <c r="A98" s="39" t="s">
        <v>41</v>
      </c>
      <c r="B98" s="16" t="s">
        <v>95</v>
      </c>
      <c r="C98" s="36">
        <v>5</v>
      </c>
      <c r="D98" s="189">
        <f>C98*PI()*(88.9+2*50)/1000</f>
        <v>2.96723426131556</v>
      </c>
      <c r="E98" s="190"/>
      <c r="F98" s="182"/>
      <c r="G98" s="183"/>
      <c r="H98" s="33"/>
      <c r="I98" s="46"/>
      <c r="J98" s="1"/>
      <c r="K98" s="1"/>
      <c r="L98" s="1"/>
    </row>
    <row r="99" spans="1:12" ht="12.75">
      <c r="A99" s="39" t="s">
        <v>42</v>
      </c>
      <c r="B99" s="16" t="s">
        <v>96</v>
      </c>
      <c r="C99" s="36">
        <v>5</v>
      </c>
      <c r="D99" s="189">
        <f>C99*PI()*(88.9+2*30)/1000</f>
        <v>2.338915730597601</v>
      </c>
      <c r="E99" s="190"/>
      <c r="F99" s="182"/>
      <c r="G99" s="183"/>
      <c r="H99" s="33"/>
      <c r="I99" s="46"/>
      <c r="J99" s="1"/>
      <c r="K99" s="1"/>
      <c r="L99" s="1"/>
    </row>
    <row r="100" spans="1:12" ht="38.25">
      <c r="A100" s="6">
        <v>2</v>
      </c>
      <c r="B100" s="16" t="s">
        <v>71</v>
      </c>
      <c r="C100" s="34" t="s">
        <v>10</v>
      </c>
      <c r="D100" s="199" t="s">
        <v>11</v>
      </c>
      <c r="E100" s="200"/>
      <c r="F100" s="199"/>
      <c r="G100" s="200"/>
      <c r="H100" s="33"/>
      <c r="I100" s="66" t="s">
        <v>112</v>
      </c>
      <c r="J100" s="66" t="s">
        <v>112</v>
      </c>
      <c r="K100" s="66" t="s">
        <v>112</v>
      </c>
      <c r="L100" s="66" t="s">
        <v>112</v>
      </c>
    </row>
    <row r="101" spans="1:12" ht="12.75">
      <c r="A101" s="39" t="s">
        <v>43</v>
      </c>
      <c r="B101" s="16" t="s">
        <v>97</v>
      </c>
      <c r="C101" s="36">
        <v>16</v>
      </c>
      <c r="D101" s="189">
        <f>C101*PI()*(76.1+2*50)/1000*2*3</f>
        <v>53.11050876452761</v>
      </c>
      <c r="E101" s="190"/>
      <c r="F101" s="182"/>
      <c r="G101" s="183"/>
      <c r="H101" s="33"/>
      <c r="I101" s="46"/>
      <c r="J101" s="1"/>
      <c r="K101" s="1"/>
      <c r="L101" s="1"/>
    </row>
    <row r="102" spans="1:12" ht="12.75">
      <c r="A102" s="39" t="s">
        <v>44</v>
      </c>
      <c r="B102" s="16" t="s">
        <v>98</v>
      </c>
      <c r="C102" s="36">
        <v>16</v>
      </c>
      <c r="D102" s="189">
        <f>C102*PI()*(76.1+2*30)/1000*2*3</f>
        <v>41.0467929747428</v>
      </c>
      <c r="E102" s="190"/>
      <c r="F102" s="182"/>
      <c r="G102" s="183"/>
      <c r="H102" s="33"/>
      <c r="I102" s="46"/>
      <c r="J102" s="1"/>
      <c r="K102" s="1"/>
      <c r="L102" s="1"/>
    </row>
    <row r="103" spans="1:12" ht="12.75">
      <c r="A103" s="39" t="s">
        <v>45</v>
      </c>
      <c r="B103" s="16" t="s">
        <v>99</v>
      </c>
      <c r="C103" s="36">
        <v>5</v>
      </c>
      <c r="D103" s="189">
        <f>C103*PI()*(88.9+2*50)/1000*2*3</f>
        <v>17.803405567893357</v>
      </c>
      <c r="E103" s="190"/>
      <c r="F103" s="182"/>
      <c r="G103" s="183"/>
      <c r="H103" s="33"/>
      <c r="I103" s="46"/>
      <c r="J103" s="1"/>
      <c r="K103" s="1"/>
      <c r="L103" s="1"/>
    </row>
    <row r="104" spans="1:12" ht="12.75">
      <c r="A104" s="39" t="s">
        <v>46</v>
      </c>
      <c r="B104" s="16" t="s">
        <v>100</v>
      </c>
      <c r="C104" s="36">
        <v>5</v>
      </c>
      <c r="D104" s="189">
        <f>C104*PI()*(88.9+2*30)/1000*2*3</f>
        <v>14.033494383585607</v>
      </c>
      <c r="E104" s="190"/>
      <c r="F104" s="182"/>
      <c r="G104" s="183"/>
      <c r="H104" s="33"/>
      <c r="I104" s="46"/>
      <c r="J104" s="1"/>
      <c r="K104" s="1"/>
      <c r="L104" s="1"/>
    </row>
    <row r="105" spans="1:12" ht="38.25">
      <c r="A105" s="6">
        <v>3</v>
      </c>
      <c r="B105" s="16" t="s">
        <v>74</v>
      </c>
      <c r="C105" s="34" t="s">
        <v>13</v>
      </c>
      <c r="D105" s="199" t="s">
        <v>11</v>
      </c>
      <c r="E105" s="200"/>
      <c r="F105" s="199"/>
      <c r="G105" s="200"/>
      <c r="H105" s="33"/>
      <c r="I105" s="66" t="s">
        <v>112</v>
      </c>
      <c r="J105" s="66" t="s">
        <v>112</v>
      </c>
      <c r="K105" s="66" t="s">
        <v>112</v>
      </c>
      <c r="L105" s="66" t="s">
        <v>112</v>
      </c>
    </row>
    <row r="106" spans="1:12" ht="12.75">
      <c r="A106" s="39" t="s">
        <v>47</v>
      </c>
      <c r="B106" s="16" t="s">
        <v>97</v>
      </c>
      <c r="C106" s="35">
        <v>11</v>
      </c>
      <c r="D106" s="189">
        <f>C106*PI()*(76.1+2*50)/1000*2*2</f>
        <v>24.342316517075147</v>
      </c>
      <c r="E106" s="190"/>
      <c r="F106" s="182"/>
      <c r="G106" s="183"/>
      <c r="H106" s="33"/>
      <c r="I106" s="46"/>
      <c r="J106" s="1"/>
      <c r="K106" s="1"/>
      <c r="L106" s="1"/>
    </row>
    <row r="107" spans="1:12" ht="12.75">
      <c r="A107" s="39" t="s">
        <v>48</v>
      </c>
      <c r="B107" s="16" t="s">
        <v>98</v>
      </c>
      <c r="C107" s="35">
        <v>11</v>
      </c>
      <c r="D107" s="189">
        <f>C107*PI()*(76.1+2*30)/1000*2*2</f>
        <v>18.813113446757114</v>
      </c>
      <c r="E107" s="190"/>
      <c r="F107" s="182"/>
      <c r="G107" s="183"/>
      <c r="H107" s="33"/>
      <c r="I107" s="46"/>
      <c r="J107" s="1"/>
      <c r="K107" s="1"/>
      <c r="L107" s="1"/>
    </row>
    <row r="108" spans="1:12" s="29" customFormat="1" ht="38.25">
      <c r="A108" s="6">
        <v>4</v>
      </c>
      <c r="B108" s="24" t="s">
        <v>70</v>
      </c>
      <c r="C108" s="34" t="s">
        <v>10</v>
      </c>
      <c r="D108" s="199" t="s">
        <v>14</v>
      </c>
      <c r="E108" s="200"/>
      <c r="F108" s="199"/>
      <c r="G108" s="200"/>
      <c r="H108" s="33"/>
      <c r="I108" s="66" t="s">
        <v>112</v>
      </c>
      <c r="J108" s="66" t="s">
        <v>112</v>
      </c>
      <c r="K108" s="66" t="s">
        <v>112</v>
      </c>
      <c r="L108" s="66" t="s">
        <v>112</v>
      </c>
    </row>
    <row r="109" spans="1:12" ht="12.75">
      <c r="A109" s="39" t="s">
        <v>50</v>
      </c>
      <c r="B109" s="16" t="s">
        <v>97</v>
      </c>
      <c r="C109" s="36">
        <v>16</v>
      </c>
      <c r="D109" s="189">
        <f>C109*(PI()*(76.1+2*50)/1000+0.05)</f>
        <v>9.651751460754602</v>
      </c>
      <c r="E109" s="190"/>
      <c r="F109" s="182"/>
      <c r="G109" s="183"/>
      <c r="H109" s="33"/>
      <c r="I109" s="46"/>
      <c r="J109" s="1"/>
      <c r="K109" s="1"/>
      <c r="L109" s="1"/>
    </row>
    <row r="110" spans="1:12" ht="12.75">
      <c r="A110" s="39" t="s">
        <v>51</v>
      </c>
      <c r="B110" s="16" t="s">
        <v>98</v>
      </c>
      <c r="C110" s="36">
        <v>16</v>
      </c>
      <c r="D110" s="189">
        <f>C110*(PI()*(76.1+2*30)/1000+0.05)</f>
        <v>7.641132162457133</v>
      </c>
      <c r="E110" s="190"/>
      <c r="F110" s="182"/>
      <c r="G110" s="183"/>
      <c r="H110" s="33"/>
      <c r="I110" s="46"/>
      <c r="J110" s="1"/>
      <c r="K110" s="1"/>
      <c r="L110" s="1"/>
    </row>
    <row r="111" spans="1:12" ht="12.75">
      <c r="A111" s="39" t="s">
        <v>52</v>
      </c>
      <c r="B111" s="16" t="s">
        <v>99</v>
      </c>
      <c r="C111" s="36">
        <v>5</v>
      </c>
      <c r="D111" s="189">
        <f>C111*(PI()*(88.9+2*50)/1000+0.05)</f>
        <v>3.2172342613155602</v>
      </c>
      <c r="E111" s="190"/>
      <c r="F111" s="182"/>
      <c r="G111" s="183"/>
      <c r="H111" s="33"/>
      <c r="I111" s="46"/>
      <c r="J111" s="1"/>
      <c r="K111" s="1"/>
      <c r="L111" s="1"/>
    </row>
    <row r="112" spans="1:12" ht="12.75">
      <c r="A112" s="39" t="s">
        <v>53</v>
      </c>
      <c r="B112" s="16" t="s">
        <v>100</v>
      </c>
      <c r="C112" s="36">
        <v>5</v>
      </c>
      <c r="D112" s="189">
        <f>C112*(PI()*(88.9+2*30)/1000+0.05)</f>
        <v>2.588915730597601</v>
      </c>
      <c r="E112" s="190"/>
      <c r="F112" s="182"/>
      <c r="G112" s="183"/>
      <c r="H112" s="33"/>
      <c r="I112" s="46"/>
      <c r="J112" s="1"/>
      <c r="K112" s="1"/>
      <c r="L112" s="1"/>
    </row>
    <row r="113" spans="1:12" s="29" customFormat="1" ht="51">
      <c r="A113" s="6">
        <v>5</v>
      </c>
      <c r="B113" s="28" t="s">
        <v>111</v>
      </c>
      <c r="C113" s="34" t="s">
        <v>36</v>
      </c>
      <c r="D113" s="199" t="s">
        <v>0</v>
      </c>
      <c r="E113" s="200"/>
      <c r="F113" s="199"/>
      <c r="G113" s="200"/>
      <c r="H113" s="33"/>
      <c r="I113" s="66" t="s">
        <v>112</v>
      </c>
      <c r="J113" s="66" t="s">
        <v>112</v>
      </c>
      <c r="K113" s="66" t="s">
        <v>112</v>
      </c>
      <c r="L113" s="66" t="s">
        <v>112</v>
      </c>
    </row>
    <row r="114" spans="1:12" ht="12.75">
      <c r="A114" s="39" t="s">
        <v>54</v>
      </c>
      <c r="B114" s="16" t="s">
        <v>97</v>
      </c>
      <c r="C114" s="36">
        <v>16</v>
      </c>
      <c r="D114" s="189">
        <f>C114*(PI()*(76.1+2*50+2*0.6)/1000+0.05)</f>
        <v>9.712070039703525</v>
      </c>
      <c r="E114" s="190"/>
      <c r="F114" s="182"/>
      <c r="G114" s="183"/>
      <c r="H114" s="33"/>
      <c r="I114" s="46"/>
      <c r="J114" s="1"/>
      <c r="K114" s="1"/>
      <c r="L114" s="1"/>
    </row>
    <row r="115" spans="1:12" ht="12.75">
      <c r="A115" s="39" t="s">
        <v>128</v>
      </c>
      <c r="B115" s="16" t="s">
        <v>98</v>
      </c>
      <c r="C115" s="36">
        <v>16</v>
      </c>
      <c r="D115" s="189">
        <f>C115*(PI()*(76.1+2*30+2*0.6)/1000+0.05)</f>
        <v>7.701450741406056</v>
      </c>
      <c r="E115" s="190"/>
      <c r="F115" s="182"/>
      <c r="G115" s="183"/>
      <c r="H115" s="33"/>
      <c r="I115" s="46"/>
      <c r="J115" s="1"/>
      <c r="K115" s="1"/>
      <c r="L115" s="1"/>
    </row>
    <row r="116" spans="1:12" ht="12.75">
      <c r="A116" s="39" t="s">
        <v>129</v>
      </c>
      <c r="B116" s="16" t="s">
        <v>99</v>
      </c>
      <c r="C116" s="36">
        <v>5</v>
      </c>
      <c r="D116" s="189">
        <f>C116*(PI()*(88.9+2*50+2*0.6)/1000+0.05)</f>
        <v>3.2360838172370987</v>
      </c>
      <c r="E116" s="190"/>
      <c r="F116" s="182"/>
      <c r="G116" s="183"/>
      <c r="H116" s="33"/>
      <c r="I116" s="46"/>
      <c r="J116" s="1"/>
      <c r="K116" s="1"/>
      <c r="L116" s="1"/>
    </row>
    <row r="117" spans="1:12" ht="12.75">
      <c r="A117" s="39" t="s">
        <v>130</v>
      </c>
      <c r="B117" s="16" t="s">
        <v>100</v>
      </c>
      <c r="C117" s="36">
        <v>5</v>
      </c>
      <c r="D117" s="189">
        <f>C117*(PI()*(88.9+2*30+2*0.6)/1000+0.05)</f>
        <v>2.6077652865191396</v>
      </c>
      <c r="E117" s="190"/>
      <c r="F117" s="182"/>
      <c r="G117" s="183"/>
      <c r="H117" s="33"/>
      <c r="I117" s="46"/>
      <c r="J117" s="1"/>
      <c r="K117" s="1"/>
      <c r="L117" s="1"/>
    </row>
    <row r="118" spans="1:12" s="29" customFormat="1" ht="12.75">
      <c r="A118" s="9" t="s">
        <v>15</v>
      </c>
      <c r="B118" s="171" t="s">
        <v>29</v>
      </c>
      <c r="C118" s="172"/>
      <c r="D118" s="172"/>
      <c r="E118" s="172"/>
      <c r="F118" s="172"/>
      <c r="G118" s="172"/>
      <c r="H118" s="173"/>
      <c r="I118" s="150" t="s">
        <v>350</v>
      </c>
      <c r="J118" s="150" t="s">
        <v>350</v>
      </c>
      <c r="K118" s="150" t="s">
        <v>350</v>
      </c>
      <c r="L118" s="150" t="s">
        <v>350</v>
      </c>
    </row>
    <row r="119" spans="1:12" s="29" customFormat="1" ht="12.75">
      <c r="A119" s="6">
        <v>1</v>
      </c>
      <c r="B119" s="24" t="s">
        <v>131</v>
      </c>
      <c r="C119" s="8"/>
      <c r="D119" s="197"/>
      <c r="E119" s="198"/>
      <c r="F119" s="199"/>
      <c r="G119" s="200"/>
      <c r="H119" s="33"/>
      <c r="I119" s="66" t="s">
        <v>112</v>
      </c>
      <c r="J119" s="66" t="s">
        <v>112</v>
      </c>
      <c r="K119" s="66" t="s">
        <v>112</v>
      </c>
      <c r="L119" s="66" t="s">
        <v>112</v>
      </c>
    </row>
    <row r="120" spans="1:12" s="29" customFormat="1" ht="12.75">
      <c r="A120" s="38" t="s">
        <v>39</v>
      </c>
      <c r="B120" s="16" t="s">
        <v>83</v>
      </c>
      <c r="C120" s="17" t="s">
        <v>62</v>
      </c>
      <c r="D120" s="195">
        <v>230</v>
      </c>
      <c r="E120" s="195"/>
      <c r="F120" s="196">
        <v>9.38</v>
      </c>
      <c r="G120" s="196"/>
      <c r="H120" s="33">
        <f>D120*F120</f>
        <v>2157.4</v>
      </c>
      <c r="I120" s="47"/>
      <c r="J120" s="16"/>
      <c r="K120" s="16"/>
      <c r="L120" s="16"/>
    </row>
    <row r="121" spans="1:12" s="29" customFormat="1" ht="12.75">
      <c r="A121" s="6">
        <v>2</v>
      </c>
      <c r="B121" s="24" t="s">
        <v>37</v>
      </c>
      <c r="C121" s="8"/>
      <c r="D121" s="191"/>
      <c r="E121" s="192"/>
      <c r="F121" s="182"/>
      <c r="G121" s="183"/>
      <c r="H121" s="33"/>
      <c r="I121" s="66" t="s">
        <v>112</v>
      </c>
      <c r="J121" s="66" t="s">
        <v>112</v>
      </c>
      <c r="K121" s="66" t="s">
        <v>112</v>
      </c>
      <c r="L121" s="66" t="s">
        <v>112</v>
      </c>
    </row>
    <row r="122" spans="1:12" s="29" customFormat="1" ht="12.75">
      <c r="A122" s="39" t="s">
        <v>43</v>
      </c>
      <c r="B122" s="24" t="s">
        <v>4</v>
      </c>
      <c r="C122" s="8" t="s">
        <v>81</v>
      </c>
      <c r="D122" s="191">
        <v>4</v>
      </c>
      <c r="E122" s="192"/>
      <c r="F122" s="182">
        <v>42</v>
      </c>
      <c r="G122" s="183"/>
      <c r="H122" s="33">
        <f>D122*F122</f>
        <v>168</v>
      </c>
      <c r="I122" s="47"/>
      <c r="J122" s="16"/>
      <c r="K122" s="16"/>
      <c r="L122" s="16"/>
    </row>
    <row r="123" spans="1:12" s="29" customFormat="1" ht="12.75">
      <c r="A123" s="6">
        <v>3</v>
      </c>
      <c r="B123" s="24" t="s">
        <v>28</v>
      </c>
      <c r="C123" s="4" t="s">
        <v>63</v>
      </c>
      <c r="D123" s="191"/>
      <c r="E123" s="192"/>
      <c r="F123" s="182"/>
      <c r="G123" s="183"/>
      <c r="H123" s="33">
        <f>SUM(H119:H122)</f>
        <v>2325.4</v>
      </c>
      <c r="I123" s="66" t="s">
        <v>112</v>
      </c>
      <c r="J123" s="66" t="s">
        <v>112</v>
      </c>
      <c r="K123" s="66" t="s">
        <v>112</v>
      </c>
      <c r="L123" s="66" t="s">
        <v>112</v>
      </c>
    </row>
    <row r="124" spans="1:12" s="18" customFormat="1" ht="12.75">
      <c r="A124" s="6">
        <v>4</v>
      </c>
      <c r="B124" s="16" t="s">
        <v>16</v>
      </c>
      <c r="C124" s="4" t="s">
        <v>63</v>
      </c>
      <c r="D124" s="193"/>
      <c r="E124" s="194"/>
      <c r="F124" s="182"/>
      <c r="G124" s="183"/>
      <c r="H124" s="33">
        <f>0.7*H123</f>
        <v>1627.78</v>
      </c>
      <c r="I124" s="66" t="s">
        <v>112</v>
      </c>
      <c r="J124" s="66" t="s">
        <v>112</v>
      </c>
      <c r="K124" s="66" t="s">
        <v>112</v>
      </c>
      <c r="L124" s="66" t="s">
        <v>112</v>
      </c>
    </row>
    <row r="125" spans="1:12" s="29" customFormat="1" ht="12.75">
      <c r="A125" s="6">
        <v>5</v>
      </c>
      <c r="B125" s="16" t="s">
        <v>80</v>
      </c>
      <c r="C125" s="5" t="s">
        <v>63</v>
      </c>
      <c r="D125" s="182"/>
      <c r="E125" s="183"/>
      <c r="F125" s="182"/>
      <c r="G125" s="183"/>
      <c r="H125" s="33">
        <f>H124</f>
        <v>1627.78</v>
      </c>
      <c r="I125" s="47"/>
      <c r="J125" s="16"/>
      <c r="K125" s="16"/>
      <c r="L125" s="16"/>
    </row>
    <row r="126" spans="1:12" s="13" customFormat="1" ht="30" customHeight="1">
      <c r="A126" s="56" t="s">
        <v>153</v>
      </c>
      <c r="B126" s="57" t="s">
        <v>154</v>
      </c>
      <c r="C126" s="68" t="s">
        <v>155</v>
      </c>
      <c r="D126" s="69" t="s">
        <v>156</v>
      </c>
      <c r="E126" s="70" t="s">
        <v>157</v>
      </c>
      <c r="F126" s="69" t="s">
        <v>158</v>
      </c>
      <c r="G126" s="70" t="s">
        <v>159</v>
      </c>
      <c r="H126" s="69" t="s">
        <v>160</v>
      </c>
      <c r="I126" s="59"/>
      <c r="J126" s="60"/>
      <c r="K126" s="60"/>
      <c r="L126" s="60"/>
    </row>
    <row r="127" spans="1:16" s="73" customFormat="1" ht="12.75" customHeight="1">
      <c r="A127" s="71" t="s">
        <v>26</v>
      </c>
      <c r="B127" s="174" t="s">
        <v>161</v>
      </c>
      <c r="C127" s="175"/>
      <c r="D127" s="175"/>
      <c r="E127" s="175"/>
      <c r="F127" s="175"/>
      <c r="G127" s="175"/>
      <c r="H127" s="176"/>
      <c r="I127" s="150" t="s">
        <v>350</v>
      </c>
      <c r="J127" s="150" t="s">
        <v>350</v>
      </c>
      <c r="K127" s="150" t="s">
        <v>350</v>
      </c>
      <c r="L127" s="150" t="s">
        <v>350</v>
      </c>
      <c r="M127" s="72"/>
      <c r="N127" s="72"/>
      <c r="O127" s="72"/>
      <c r="P127" s="72"/>
    </row>
    <row r="128" spans="1:16" s="29" customFormat="1" ht="12.75" customHeight="1">
      <c r="A128" s="74" t="s">
        <v>162</v>
      </c>
      <c r="B128" s="75" t="s">
        <v>163</v>
      </c>
      <c r="C128" s="76"/>
      <c r="D128" s="77"/>
      <c r="E128" s="77"/>
      <c r="F128" s="77"/>
      <c r="G128" s="78"/>
      <c r="H128" s="77"/>
      <c r="I128" s="66" t="s">
        <v>112</v>
      </c>
      <c r="J128" s="66" t="s">
        <v>112</v>
      </c>
      <c r="K128" s="66" t="s">
        <v>112</v>
      </c>
      <c r="L128" s="66" t="s">
        <v>112</v>
      </c>
      <c r="M128" s="79"/>
      <c r="N128" s="79"/>
      <c r="O128" s="79"/>
      <c r="P128" s="79"/>
    </row>
    <row r="129" spans="1:16" s="29" customFormat="1" ht="12.75" customHeight="1">
      <c r="A129" s="74" t="s">
        <v>164</v>
      </c>
      <c r="B129" s="80" t="s">
        <v>165</v>
      </c>
      <c r="C129" s="76" t="s">
        <v>166</v>
      </c>
      <c r="D129" s="77">
        <f>2*3</f>
        <v>6</v>
      </c>
      <c r="E129" s="16">
        <v>2.2</v>
      </c>
      <c r="F129" s="77">
        <v>0.15</v>
      </c>
      <c r="G129" s="78">
        <v>2</v>
      </c>
      <c r="H129" s="77">
        <f>D129*E129*F129*G129</f>
        <v>3.96</v>
      </c>
      <c r="I129" s="66" t="s">
        <v>112</v>
      </c>
      <c r="J129" s="66" t="s">
        <v>112</v>
      </c>
      <c r="K129" s="66" t="s">
        <v>112</v>
      </c>
      <c r="L129" s="66" t="s">
        <v>112</v>
      </c>
      <c r="M129" s="79"/>
      <c r="N129" s="79"/>
      <c r="O129" s="79"/>
      <c r="P129" s="79"/>
    </row>
    <row r="130" spans="1:16" s="29" customFormat="1" ht="25.5" customHeight="1">
      <c r="A130" s="74" t="s">
        <v>164</v>
      </c>
      <c r="B130" s="80" t="s">
        <v>167</v>
      </c>
      <c r="C130" s="76" t="s">
        <v>166</v>
      </c>
      <c r="D130" s="77"/>
      <c r="E130" s="16"/>
      <c r="F130" s="77"/>
      <c r="G130" s="78">
        <v>1</v>
      </c>
      <c r="H130" s="77">
        <f>10*1.6</f>
        <v>16</v>
      </c>
      <c r="I130" s="66" t="s">
        <v>112</v>
      </c>
      <c r="J130" s="66" t="s">
        <v>112</v>
      </c>
      <c r="K130" s="66" t="s">
        <v>112</v>
      </c>
      <c r="L130" s="66" t="s">
        <v>112</v>
      </c>
      <c r="M130" s="79"/>
      <c r="N130" s="79"/>
      <c r="O130" s="79"/>
      <c r="P130" s="79"/>
    </row>
    <row r="131" spans="1:16" s="29" customFormat="1" ht="12.75" customHeight="1">
      <c r="A131" s="74" t="s">
        <v>164</v>
      </c>
      <c r="B131" s="80" t="s">
        <v>168</v>
      </c>
      <c r="C131" s="76"/>
      <c r="D131" s="77"/>
      <c r="E131" s="77"/>
      <c r="F131" s="77"/>
      <c r="G131" s="78"/>
      <c r="H131" s="77"/>
      <c r="I131" s="66" t="s">
        <v>112</v>
      </c>
      <c r="J131" s="66" t="s">
        <v>112</v>
      </c>
      <c r="K131" s="66" t="s">
        <v>112</v>
      </c>
      <c r="L131" s="66" t="s">
        <v>112</v>
      </c>
      <c r="M131" s="79"/>
      <c r="N131" s="79"/>
      <c r="O131" s="79"/>
      <c r="P131" s="79"/>
    </row>
    <row r="132" spans="1:16" s="29" customFormat="1" ht="12.75" customHeight="1">
      <c r="A132" s="74" t="s">
        <v>164</v>
      </c>
      <c r="B132" s="80" t="s">
        <v>169</v>
      </c>
      <c r="C132" s="76" t="s">
        <v>170</v>
      </c>
      <c r="D132" s="77"/>
      <c r="E132" s="77"/>
      <c r="F132" s="77"/>
      <c r="G132" s="78">
        <v>1</v>
      </c>
      <c r="H132" s="77">
        <f>((61.3+2.13)*1.3)+((16.3+8.47+30.16)*1.3)+((1.43+1.37+2.21)*1.3)+((29+29)*1.3)+(51*1.3)+(1.5*1.3)</f>
        <v>304.031</v>
      </c>
      <c r="I132" s="66" t="s">
        <v>112</v>
      </c>
      <c r="J132" s="66" t="s">
        <v>112</v>
      </c>
      <c r="K132" s="66" t="s">
        <v>112</v>
      </c>
      <c r="L132" s="66" t="s">
        <v>112</v>
      </c>
      <c r="M132" s="79"/>
      <c r="N132" s="79"/>
      <c r="O132" s="79"/>
      <c r="P132" s="79"/>
    </row>
    <row r="133" spans="1:16" s="29" customFormat="1" ht="12.75" customHeight="1">
      <c r="A133" s="74" t="s">
        <v>164</v>
      </c>
      <c r="B133" s="80" t="s">
        <v>171</v>
      </c>
      <c r="C133" s="76" t="s">
        <v>170</v>
      </c>
      <c r="D133" s="77"/>
      <c r="E133" s="77"/>
      <c r="F133" s="77"/>
      <c r="G133" s="78">
        <v>1</v>
      </c>
      <c r="H133" s="77">
        <f>((42.85+47.23)*1.4)+(66*1.4)</f>
        <v>218.512</v>
      </c>
      <c r="I133" s="66" t="s">
        <v>112</v>
      </c>
      <c r="J133" s="66" t="s">
        <v>112</v>
      </c>
      <c r="K133" s="66" t="s">
        <v>112</v>
      </c>
      <c r="L133" s="66" t="s">
        <v>112</v>
      </c>
      <c r="M133" s="79"/>
      <c r="N133" s="79"/>
      <c r="O133" s="79"/>
      <c r="P133" s="79"/>
    </row>
    <row r="134" spans="1:16" s="29" customFormat="1" ht="12.75" customHeight="1">
      <c r="A134" s="74" t="s">
        <v>164</v>
      </c>
      <c r="B134" s="80" t="s">
        <v>172</v>
      </c>
      <c r="C134" s="76" t="s">
        <v>170</v>
      </c>
      <c r="D134" s="77"/>
      <c r="E134" s="77"/>
      <c r="F134" s="77"/>
      <c r="G134" s="78">
        <v>1</v>
      </c>
      <c r="H134" s="77">
        <f>((6*(2.65/2))+(5*2.65)+(5*2.65)+(2*(2.65/2)))+(6*2.65)</f>
        <v>53</v>
      </c>
      <c r="I134" s="66" t="s">
        <v>112</v>
      </c>
      <c r="J134" s="66" t="s">
        <v>112</v>
      </c>
      <c r="K134" s="66" t="s">
        <v>112</v>
      </c>
      <c r="L134" s="66" t="s">
        <v>112</v>
      </c>
      <c r="M134" s="79"/>
      <c r="N134" s="79"/>
      <c r="O134" s="79"/>
      <c r="P134" s="79"/>
    </row>
    <row r="135" spans="1:16" s="29" customFormat="1" ht="12.75" customHeight="1">
      <c r="A135" s="74" t="s">
        <v>164</v>
      </c>
      <c r="B135" s="80" t="s">
        <v>173</v>
      </c>
      <c r="C135" s="76" t="s">
        <v>170</v>
      </c>
      <c r="D135" s="77"/>
      <c r="E135" s="77"/>
      <c r="F135" s="77"/>
      <c r="G135" s="78">
        <v>2</v>
      </c>
      <c r="H135" s="77">
        <f>0.1*0.75*2*G135</f>
        <v>0.30000000000000004</v>
      </c>
      <c r="I135" s="66" t="s">
        <v>112</v>
      </c>
      <c r="J135" s="66" t="s">
        <v>112</v>
      </c>
      <c r="K135" s="66" t="s">
        <v>112</v>
      </c>
      <c r="L135" s="66" t="s">
        <v>112</v>
      </c>
      <c r="M135" s="79"/>
      <c r="N135" s="79"/>
      <c r="O135" s="79"/>
      <c r="P135" s="79"/>
    </row>
    <row r="136" spans="1:16" s="29" customFormat="1" ht="25.5" customHeight="1">
      <c r="A136" s="74" t="s">
        <v>164</v>
      </c>
      <c r="B136" s="80" t="s">
        <v>174</v>
      </c>
      <c r="C136" s="76" t="s">
        <v>170</v>
      </c>
      <c r="D136" s="77"/>
      <c r="E136" s="77"/>
      <c r="F136" s="77"/>
      <c r="G136" s="78">
        <v>2</v>
      </c>
      <c r="H136" s="77">
        <f>2*2*0.4*G136</f>
        <v>3.2</v>
      </c>
      <c r="I136" s="66" t="s">
        <v>112</v>
      </c>
      <c r="J136" s="66" t="s">
        <v>112</v>
      </c>
      <c r="K136" s="66" t="s">
        <v>112</v>
      </c>
      <c r="L136" s="66" t="s">
        <v>112</v>
      </c>
      <c r="M136" s="79"/>
      <c r="N136" s="79"/>
      <c r="O136" s="79"/>
      <c r="P136" s="79"/>
    </row>
    <row r="137" spans="1:16" s="29" customFormat="1" ht="12.75" customHeight="1">
      <c r="A137" s="74" t="s">
        <v>164</v>
      </c>
      <c r="B137" s="80" t="s">
        <v>175</v>
      </c>
      <c r="C137" s="76" t="s">
        <v>170</v>
      </c>
      <c r="D137" s="77"/>
      <c r="E137" s="77"/>
      <c r="F137" s="77"/>
      <c r="G137" s="78"/>
      <c r="H137" s="77">
        <f>SUM(H129:H136)</f>
        <v>599.0029999999999</v>
      </c>
      <c r="I137" s="66" t="s">
        <v>112</v>
      </c>
      <c r="J137" s="66" t="s">
        <v>112</v>
      </c>
      <c r="K137" s="66" t="s">
        <v>112</v>
      </c>
      <c r="L137" s="66" t="s">
        <v>112</v>
      </c>
      <c r="M137" s="79"/>
      <c r="N137" s="79"/>
      <c r="O137" s="79"/>
      <c r="P137" s="79"/>
    </row>
    <row r="138" spans="1:16" s="29" customFormat="1" ht="12.75" customHeight="1">
      <c r="A138" s="74" t="s">
        <v>39</v>
      </c>
      <c r="B138" s="75" t="s">
        <v>176</v>
      </c>
      <c r="C138" s="76" t="s">
        <v>170</v>
      </c>
      <c r="D138" s="77"/>
      <c r="E138" s="77"/>
      <c r="F138" s="77"/>
      <c r="G138" s="78"/>
      <c r="H138" s="77">
        <f>0.1*H137</f>
        <v>59.900299999999994</v>
      </c>
      <c r="I138" s="75"/>
      <c r="J138" s="75"/>
      <c r="K138" s="75"/>
      <c r="L138" s="75"/>
      <c r="M138" s="79"/>
      <c r="N138" s="79"/>
      <c r="O138" s="79"/>
      <c r="P138" s="79"/>
    </row>
    <row r="139" spans="1:16" s="29" customFormat="1" ht="12.75" customHeight="1">
      <c r="A139" s="74" t="s">
        <v>40</v>
      </c>
      <c r="B139" s="75" t="s">
        <v>177</v>
      </c>
      <c r="C139" s="76" t="s">
        <v>170</v>
      </c>
      <c r="D139" s="77"/>
      <c r="E139" s="77"/>
      <c r="F139" s="77"/>
      <c r="G139" s="78"/>
      <c r="H139" s="77">
        <f>0.9*H137</f>
        <v>539.1026999999999</v>
      </c>
      <c r="I139" s="75"/>
      <c r="J139" s="75"/>
      <c r="K139" s="75"/>
      <c r="L139" s="75"/>
      <c r="M139" s="79"/>
      <c r="N139" s="79"/>
      <c r="O139" s="79"/>
      <c r="P139" s="79"/>
    </row>
    <row r="140" spans="1:16" s="29" customFormat="1" ht="12.75" customHeight="1">
      <c r="A140" s="74" t="s">
        <v>178</v>
      </c>
      <c r="B140" s="75" t="s">
        <v>179</v>
      </c>
      <c r="C140" s="76" t="s">
        <v>180</v>
      </c>
      <c r="D140" s="77"/>
      <c r="E140" s="77"/>
      <c r="F140" s="77"/>
      <c r="G140" s="78"/>
      <c r="H140" s="77">
        <f>H137*1.8</f>
        <v>1078.2053999999998</v>
      </c>
      <c r="I140" s="75"/>
      <c r="J140" s="75"/>
      <c r="K140" s="75"/>
      <c r="L140" s="75"/>
      <c r="M140" s="79"/>
      <c r="N140" s="79"/>
      <c r="O140" s="79"/>
      <c r="P140" s="79"/>
    </row>
    <row r="141" spans="1:16" s="29" customFormat="1" ht="12.75" customHeight="1">
      <c r="A141" s="74" t="s">
        <v>181</v>
      </c>
      <c r="B141" s="75" t="s">
        <v>182</v>
      </c>
      <c r="C141" s="76" t="s">
        <v>183</v>
      </c>
      <c r="D141" s="77"/>
      <c r="E141" s="77"/>
      <c r="F141" s="77"/>
      <c r="G141" s="78">
        <v>2</v>
      </c>
      <c r="H141" s="77">
        <f>(43+65+47+61+16+1.5+2.2+8.5+1.5+31+2.2+8+1+0.8+29+51+28+1.5)*G141</f>
        <v>796.4</v>
      </c>
      <c r="I141" s="75"/>
      <c r="J141" s="75"/>
      <c r="K141" s="75"/>
      <c r="L141" s="75"/>
      <c r="M141" s="79"/>
      <c r="N141" s="79"/>
      <c r="O141" s="79"/>
      <c r="P141" s="79"/>
    </row>
    <row r="142" spans="1:16" s="29" customFormat="1" ht="12.75" customHeight="1">
      <c r="A142" s="74" t="s">
        <v>184</v>
      </c>
      <c r="B142" s="80" t="s">
        <v>185</v>
      </c>
      <c r="C142" s="76" t="s">
        <v>81</v>
      </c>
      <c r="D142" s="77"/>
      <c r="E142" s="77"/>
      <c r="F142" s="77"/>
      <c r="G142" s="78">
        <v>4</v>
      </c>
      <c r="H142" s="77">
        <f>G142</f>
        <v>4</v>
      </c>
      <c r="I142" s="75"/>
      <c r="J142" s="75"/>
      <c r="K142" s="75"/>
      <c r="L142" s="75"/>
      <c r="M142" s="79"/>
      <c r="N142" s="79"/>
      <c r="O142" s="79"/>
      <c r="P142" s="79"/>
    </row>
    <row r="143" spans="1:16" s="29" customFormat="1" ht="12.75" customHeight="1">
      <c r="A143" s="74" t="s">
        <v>186</v>
      </c>
      <c r="B143" s="80" t="s">
        <v>187</v>
      </c>
      <c r="C143" s="76" t="s">
        <v>81</v>
      </c>
      <c r="D143" s="77"/>
      <c r="E143" s="77"/>
      <c r="F143" s="77"/>
      <c r="G143" s="78">
        <v>3</v>
      </c>
      <c r="H143" s="77">
        <f>G143</f>
        <v>3</v>
      </c>
      <c r="I143" s="75"/>
      <c r="J143" s="75"/>
      <c r="K143" s="75"/>
      <c r="L143" s="75"/>
      <c r="M143" s="79"/>
      <c r="N143" s="79"/>
      <c r="O143" s="79"/>
      <c r="P143" s="79"/>
    </row>
    <row r="144" spans="1:16" s="29" customFormat="1" ht="12.75" customHeight="1">
      <c r="A144" s="74">
        <v>6</v>
      </c>
      <c r="B144" s="80" t="s">
        <v>188</v>
      </c>
      <c r="C144" s="76" t="s">
        <v>81</v>
      </c>
      <c r="D144" s="77"/>
      <c r="E144" s="77"/>
      <c r="F144" s="77"/>
      <c r="G144" s="78">
        <v>1</v>
      </c>
      <c r="H144" s="77">
        <f>G144</f>
        <v>1</v>
      </c>
      <c r="I144" s="75"/>
      <c r="J144" s="75"/>
      <c r="K144" s="75"/>
      <c r="L144" s="75"/>
      <c r="M144" s="79"/>
      <c r="N144" s="79"/>
      <c r="O144" s="79"/>
      <c r="P144" s="79"/>
    </row>
    <row r="145" spans="1:16" s="29" customFormat="1" ht="12.75" customHeight="1">
      <c r="A145" s="74">
        <v>7</v>
      </c>
      <c r="B145" s="75" t="s">
        <v>189</v>
      </c>
      <c r="C145" s="76" t="s">
        <v>166</v>
      </c>
      <c r="D145" s="77"/>
      <c r="E145" s="77"/>
      <c r="F145" s="77"/>
      <c r="G145" s="78">
        <v>2</v>
      </c>
      <c r="H145" s="77">
        <f>G145*1.2*0.1*0.03</f>
        <v>0.0072</v>
      </c>
      <c r="I145" s="75"/>
      <c r="J145" s="75"/>
      <c r="K145" s="75"/>
      <c r="L145" s="75"/>
      <c r="M145" s="79"/>
      <c r="N145" s="79"/>
      <c r="O145" s="79"/>
      <c r="P145" s="79"/>
    </row>
    <row r="146" spans="1:12" s="29" customFormat="1" ht="12.75" customHeight="1">
      <c r="A146" s="74">
        <v>8</v>
      </c>
      <c r="B146" s="16" t="s">
        <v>190</v>
      </c>
      <c r="C146" s="76" t="s">
        <v>191</v>
      </c>
      <c r="D146" s="82">
        <v>3</v>
      </c>
      <c r="E146" s="82">
        <v>1.2</v>
      </c>
      <c r="F146" s="82"/>
      <c r="G146" s="83">
        <v>1</v>
      </c>
      <c r="H146" s="82">
        <f>G146*E146*D146</f>
        <v>3.5999999999999996</v>
      </c>
      <c r="I146" s="16"/>
      <c r="J146" s="16"/>
      <c r="K146" s="16"/>
      <c r="L146" s="16"/>
    </row>
    <row r="147" spans="1:12" s="29" customFormat="1" ht="25.5" customHeight="1">
      <c r="A147" s="74">
        <v>9</v>
      </c>
      <c r="B147" s="16" t="s">
        <v>192</v>
      </c>
      <c r="C147" s="76" t="s">
        <v>191</v>
      </c>
      <c r="D147" s="82"/>
      <c r="E147" s="82"/>
      <c r="F147" s="82"/>
      <c r="G147" s="83"/>
      <c r="H147" s="82">
        <f>(3*1.2*1)+(3*0.5*2)</f>
        <v>6.6</v>
      </c>
      <c r="I147" s="16"/>
      <c r="J147" s="16"/>
      <c r="K147" s="16"/>
      <c r="L147" s="16"/>
    </row>
    <row r="148" spans="1:16" s="29" customFormat="1" ht="12.75" customHeight="1">
      <c r="A148" s="74">
        <v>10</v>
      </c>
      <c r="B148" s="80" t="s">
        <v>193</v>
      </c>
      <c r="C148" s="76" t="s">
        <v>81</v>
      </c>
      <c r="D148" s="77"/>
      <c r="E148" s="77"/>
      <c r="F148" s="77"/>
      <c r="G148" s="78">
        <v>4</v>
      </c>
      <c r="H148" s="77">
        <f>G148</f>
        <v>4</v>
      </c>
      <c r="I148" s="75"/>
      <c r="J148" s="75"/>
      <c r="K148" s="75"/>
      <c r="L148" s="75"/>
      <c r="M148" s="79"/>
      <c r="N148" s="79"/>
      <c r="O148" s="79"/>
      <c r="P148" s="79"/>
    </row>
    <row r="149" spans="1:16" s="29" customFormat="1" ht="12.75" customHeight="1">
      <c r="A149" s="74">
        <v>11</v>
      </c>
      <c r="B149" s="80" t="s">
        <v>194</v>
      </c>
      <c r="C149" s="76" t="s">
        <v>81</v>
      </c>
      <c r="D149" s="77"/>
      <c r="E149" s="77"/>
      <c r="F149" s="77"/>
      <c r="G149" s="78">
        <v>4</v>
      </c>
      <c r="H149" s="77">
        <f>G149</f>
        <v>4</v>
      </c>
      <c r="I149" s="75"/>
      <c r="J149" s="75"/>
      <c r="K149" s="75"/>
      <c r="L149" s="75"/>
      <c r="M149" s="79"/>
      <c r="N149" s="79"/>
      <c r="O149" s="79"/>
      <c r="P149" s="79"/>
    </row>
    <row r="150" spans="1:16" s="29" customFormat="1" ht="12.75" customHeight="1">
      <c r="A150" s="74">
        <v>12</v>
      </c>
      <c r="B150" s="75" t="s">
        <v>189</v>
      </c>
      <c r="C150" s="76" t="s">
        <v>166</v>
      </c>
      <c r="D150" s="77"/>
      <c r="E150" s="77"/>
      <c r="F150" s="77"/>
      <c r="G150" s="78">
        <v>6</v>
      </c>
      <c r="H150" s="77">
        <f>G150*1.8*0.12*0.03</f>
        <v>0.03888</v>
      </c>
      <c r="I150" s="75"/>
      <c r="J150" s="75"/>
      <c r="K150" s="75"/>
      <c r="L150" s="75"/>
      <c r="M150" s="79"/>
      <c r="N150" s="79"/>
      <c r="O150" s="79"/>
      <c r="P150" s="79"/>
    </row>
    <row r="151" spans="1:12" s="29" customFormat="1" ht="12.75" customHeight="1">
      <c r="A151" s="74">
        <v>13</v>
      </c>
      <c r="B151" s="16" t="s">
        <v>190</v>
      </c>
      <c r="C151" s="76" t="s">
        <v>191</v>
      </c>
      <c r="D151" s="82">
        <v>3</v>
      </c>
      <c r="E151" s="82">
        <v>1.8</v>
      </c>
      <c r="F151" s="82"/>
      <c r="G151" s="83">
        <v>4</v>
      </c>
      <c r="H151" s="82">
        <f>G151*E151*D151</f>
        <v>21.6</v>
      </c>
      <c r="I151" s="16"/>
      <c r="J151" s="16"/>
      <c r="K151" s="16"/>
      <c r="L151" s="16"/>
    </row>
    <row r="152" spans="1:12" s="29" customFormat="1" ht="25.5" customHeight="1">
      <c r="A152" s="74">
        <v>14</v>
      </c>
      <c r="B152" s="16" t="s">
        <v>192</v>
      </c>
      <c r="C152" s="76" t="s">
        <v>191</v>
      </c>
      <c r="D152" s="82"/>
      <c r="E152" s="82"/>
      <c r="F152" s="82"/>
      <c r="G152" s="83"/>
      <c r="H152" s="82">
        <f>(3*1.8*4)+(3*0.5*8)</f>
        <v>33.6</v>
      </c>
      <c r="I152" s="16"/>
      <c r="J152" s="16"/>
      <c r="K152" s="16"/>
      <c r="L152" s="16"/>
    </row>
    <row r="153" spans="1:16" s="29" customFormat="1" ht="12.75" customHeight="1">
      <c r="A153" s="74">
        <v>15</v>
      </c>
      <c r="B153" s="80" t="s">
        <v>195</v>
      </c>
      <c r="C153" s="76" t="s">
        <v>62</v>
      </c>
      <c r="D153" s="77"/>
      <c r="E153" s="77"/>
      <c r="F153" s="77"/>
      <c r="G153" s="78">
        <v>1</v>
      </c>
      <c r="H153" s="77">
        <v>12</v>
      </c>
      <c r="I153" s="75"/>
      <c r="J153" s="75"/>
      <c r="K153" s="75"/>
      <c r="L153" s="75"/>
      <c r="M153" s="79"/>
      <c r="N153" s="79"/>
      <c r="O153" s="79"/>
      <c r="P153" s="79"/>
    </row>
    <row r="154" spans="1:16" s="29" customFormat="1" ht="12.75" customHeight="1">
      <c r="A154" s="74">
        <v>16</v>
      </c>
      <c r="B154" s="80" t="s">
        <v>196</v>
      </c>
      <c r="C154" s="76" t="s">
        <v>170</v>
      </c>
      <c r="D154" s="77"/>
      <c r="E154" s="77"/>
      <c r="F154" s="77"/>
      <c r="G154" s="78">
        <v>1</v>
      </c>
      <c r="H154" s="77">
        <f>(1*0.9*0.16)</f>
        <v>0.14400000000000002</v>
      </c>
      <c r="I154" s="75"/>
      <c r="J154" s="75"/>
      <c r="K154" s="75"/>
      <c r="L154" s="75"/>
      <c r="M154" s="79"/>
      <c r="N154" s="79"/>
      <c r="O154" s="79"/>
      <c r="P154" s="79"/>
    </row>
    <row r="155" spans="1:16" s="29" customFormat="1" ht="25.5" customHeight="1">
      <c r="A155" s="74" t="s">
        <v>197</v>
      </c>
      <c r="B155" s="80" t="s">
        <v>198</v>
      </c>
      <c r="C155" s="76" t="s">
        <v>170</v>
      </c>
      <c r="D155" s="77"/>
      <c r="E155" s="77"/>
      <c r="F155" s="77"/>
      <c r="G155" s="78">
        <v>2</v>
      </c>
      <c r="H155" s="77">
        <f>(0.6*0.4*0.4)*G155</f>
        <v>0.192</v>
      </c>
      <c r="I155" s="75"/>
      <c r="J155" s="75"/>
      <c r="K155" s="75"/>
      <c r="L155" s="75"/>
      <c r="M155" s="79"/>
      <c r="N155" s="79"/>
      <c r="O155" s="79"/>
      <c r="P155" s="79"/>
    </row>
    <row r="156" spans="1:16" s="29" customFormat="1" ht="25.5" customHeight="1">
      <c r="A156" s="74" t="s">
        <v>199</v>
      </c>
      <c r="B156" s="75" t="s">
        <v>200</v>
      </c>
      <c r="C156" s="76" t="s">
        <v>170</v>
      </c>
      <c r="D156" s="77"/>
      <c r="E156" s="77"/>
      <c r="F156" s="77"/>
      <c r="G156" s="78">
        <v>5</v>
      </c>
      <c r="H156" s="77">
        <f>(0.5*0.5*0.4)*G156</f>
        <v>0.5</v>
      </c>
      <c r="I156" s="75"/>
      <c r="J156" s="75"/>
      <c r="K156" s="75"/>
      <c r="L156" s="75"/>
      <c r="M156" s="79"/>
      <c r="N156" s="79"/>
      <c r="O156" s="79"/>
      <c r="P156" s="79"/>
    </row>
    <row r="157" spans="1:16" s="29" customFormat="1" ht="12.75" customHeight="1">
      <c r="A157" s="74">
        <v>19</v>
      </c>
      <c r="B157" s="75" t="s">
        <v>201</v>
      </c>
      <c r="C157" s="76" t="s">
        <v>170</v>
      </c>
      <c r="D157" s="77"/>
      <c r="E157" s="77"/>
      <c r="F157" s="77"/>
      <c r="G157" s="78">
        <v>4</v>
      </c>
      <c r="H157" s="77">
        <f>0.2*0.2*0.1*G157</f>
        <v>0.016000000000000004</v>
      </c>
      <c r="I157" s="75"/>
      <c r="J157" s="75"/>
      <c r="K157" s="75"/>
      <c r="L157" s="75"/>
      <c r="M157" s="79"/>
      <c r="N157" s="79"/>
      <c r="O157" s="79"/>
      <c r="P157" s="79"/>
    </row>
    <row r="158" spans="1:16" s="29" customFormat="1" ht="12.75" customHeight="1">
      <c r="A158" s="74">
        <v>20</v>
      </c>
      <c r="B158" s="75" t="s">
        <v>202</v>
      </c>
      <c r="C158" s="76" t="s">
        <v>180</v>
      </c>
      <c r="D158" s="77"/>
      <c r="E158" s="77"/>
      <c r="F158" s="77"/>
      <c r="G158" s="78">
        <v>1</v>
      </c>
      <c r="H158" s="77">
        <f>2.2*(H156+H155+H154+H157)</f>
        <v>1.8744</v>
      </c>
      <c r="I158" s="75"/>
      <c r="J158" s="75"/>
      <c r="K158" s="75"/>
      <c r="L158" s="75"/>
      <c r="M158" s="79"/>
      <c r="N158" s="79"/>
      <c r="O158" s="79"/>
      <c r="P158" s="79"/>
    </row>
    <row r="159" spans="1:16" s="29" customFormat="1" ht="12.75" customHeight="1">
      <c r="A159" s="74">
        <v>21</v>
      </c>
      <c r="B159" s="75" t="s">
        <v>203</v>
      </c>
      <c r="C159" s="76"/>
      <c r="D159" s="77"/>
      <c r="E159" s="77"/>
      <c r="F159" s="77"/>
      <c r="G159" s="78"/>
      <c r="H159" s="77"/>
      <c r="I159" s="66" t="s">
        <v>112</v>
      </c>
      <c r="J159" s="66" t="s">
        <v>112</v>
      </c>
      <c r="K159" s="66" t="s">
        <v>112</v>
      </c>
      <c r="L159" s="66" t="s">
        <v>112</v>
      </c>
      <c r="M159" s="79"/>
      <c r="N159" s="79"/>
      <c r="O159" s="79"/>
      <c r="P159" s="79"/>
    </row>
    <row r="160" spans="1:16" s="29" customFormat="1" ht="12.75" customHeight="1">
      <c r="A160" s="74" t="s">
        <v>164</v>
      </c>
      <c r="B160" s="80" t="s">
        <v>204</v>
      </c>
      <c r="C160" s="76"/>
      <c r="D160" s="77"/>
      <c r="E160" s="77"/>
      <c r="F160" s="77"/>
      <c r="G160" s="78"/>
      <c r="H160" s="77"/>
      <c r="I160" s="66" t="s">
        <v>112</v>
      </c>
      <c r="J160" s="66" t="s">
        <v>112</v>
      </c>
      <c r="K160" s="66" t="s">
        <v>112</v>
      </c>
      <c r="L160" s="66" t="s">
        <v>112</v>
      </c>
      <c r="M160" s="79"/>
      <c r="N160" s="79"/>
      <c r="O160" s="79"/>
      <c r="P160" s="79"/>
    </row>
    <row r="161" spans="1:16" s="29" customFormat="1" ht="12.75" customHeight="1">
      <c r="A161" s="74" t="s">
        <v>164</v>
      </c>
      <c r="B161" s="80" t="s">
        <v>169</v>
      </c>
      <c r="C161" s="76" t="s">
        <v>170</v>
      </c>
      <c r="D161" s="77"/>
      <c r="E161" s="77"/>
      <c r="F161" s="77"/>
      <c r="G161" s="78">
        <v>1</v>
      </c>
      <c r="H161" s="77">
        <f>5.5*1</f>
        <v>5.5</v>
      </c>
      <c r="I161" s="66" t="s">
        <v>112</v>
      </c>
      <c r="J161" s="66" t="s">
        <v>112</v>
      </c>
      <c r="K161" s="66" t="s">
        <v>112</v>
      </c>
      <c r="L161" s="66" t="s">
        <v>112</v>
      </c>
      <c r="M161" s="79"/>
      <c r="N161" s="79"/>
      <c r="O161" s="79"/>
      <c r="P161" s="79"/>
    </row>
    <row r="162" spans="1:16" s="29" customFormat="1" ht="12.75" customHeight="1">
      <c r="A162" s="74" t="s">
        <v>164</v>
      </c>
      <c r="B162" s="80" t="s">
        <v>205</v>
      </c>
      <c r="C162" s="76"/>
      <c r="D162" s="77"/>
      <c r="E162" s="77"/>
      <c r="F162" s="77"/>
      <c r="G162" s="78"/>
      <c r="H162" s="77"/>
      <c r="I162" s="66" t="s">
        <v>112</v>
      </c>
      <c r="J162" s="66" t="s">
        <v>112</v>
      </c>
      <c r="K162" s="66" t="s">
        <v>112</v>
      </c>
      <c r="L162" s="66" t="s">
        <v>112</v>
      </c>
      <c r="M162" s="79"/>
      <c r="N162" s="79"/>
      <c r="O162" s="79"/>
      <c r="P162" s="79"/>
    </row>
    <row r="163" spans="1:16" s="29" customFormat="1" ht="12.75" customHeight="1">
      <c r="A163" s="74" t="s">
        <v>164</v>
      </c>
      <c r="B163" s="80" t="s">
        <v>171</v>
      </c>
      <c r="C163" s="76" t="s">
        <v>170</v>
      </c>
      <c r="D163" s="77"/>
      <c r="E163" s="77"/>
      <c r="F163" s="77"/>
      <c r="G163" s="78">
        <v>1</v>
      </c>
      <c r="H163" s="77">
        <f>48.2*1.4</f>
        <v>67.48</v>
      </c>
      <c r="I163" s="66" t="s">
        <v>112</v>
      </c>
      <c r="J163" s="66" t="s">
        <v>112</v>
      </c>
      <c r="K163" s="66" t="s">
        <v>112</v>
      </c>
      <c r="L163" s="66" t="s">
        <v>112</v>
      </c>
      <c r="M163" s="79"/>
      <c r="N163" s="79"/>
      <c r="O163" s="79"/>
      <c r="P163" s="79"/>
    </row>
    <row r="164" spans="1:16" s="29" customFormat="1" ht="12.75" customHeight="1">
      <c r="A164" s="74" t="s">
        <v>164</v>
      </c>
      <c r="B164" s="80" t="s">
        <v>169</v>
      </c>
      <c r="C164" s="76" t="s">
        <v>170</v>
      </c>
      <c r="D164" s="77"/>
      <c r="E164" s="77"/>
      <c r="F164" s="77"/>
      <c r="G164" s="78">
        <v>1</v>
      </c>
      <c r="H164" s="77">
        <f>(28.8+4.7+8+37.3)*1.3</f>
        <v>102.44</v>
      </c>
      <c r="I164" s="66" t="s">
        <v>112</v>
      </c>
      <c r="J164" s="66" t="s">
        <v>112</v>
      </c>
      <c r="K164" s="66" t="s">
        <v>112</v>
      </c>
      <c r="L164" s="66" t="s">
        <v>112</v>
      </c>
      <c r="M164" s="79"/>
      <c r="N164" s="79"/>
      <c r="O164" s="79"/>
      <c r="P164" s="79"/>
    </row>
    <row r="165" spans="1:16" s="29" customFormat="1" ht="12.75" customHeight="1">
      <c r="A165" s="74" t="s">
        <v>164</v>
      </c>
      <c r="B165" s="80" t="s">
        <v>206</v>
      </c>
      <c r="C165" s="76" t="s">
        <v>170</v>
      </c>
      <c r="D165" s="77"/>
      <c r="E165" s="77"/>
      <c r="F165" s="77"/>
      <c r="G165" s="78">
        <v>1</v>
      </c>
      <c r="H165" s="77">
        <f>((6*(1.45/2))+(5*1.45)+(5*1.45)+(2*(1.45/2)))+(6*1.45)</f>
        <v>29</v>
      </c>
      <c r="I165" s="66" t="s">
        <v>112</v>
      </c>
      <c r="J165" s="66" t="s">
        <v>112</v>
      </c>
      <c r="K165" s="66" t="s">
        <v>112</v>
      </c>
      <c r="L165" s="66" t="s">
        <v>112</v>
      </c>
      <c r="M165" s="79"/>
      <c r="N165" s="79"/>
      <c r="O165" s="79"/>
      <c r="P165" s="79"/>
    </row>
    <row r="166" spans="1:16" s="29" customFormat="1" ht="12.75" customHeight="1">
      <c r="A166" s="74" t="s">
        <v>164</v>
      </c>
      <c r="B166" s="80" t="s">
        <v>207</v>
      </c>
      <c r="C166" s="76" t="s">
        <v>170</v>
      </c>
      <c r="D166" s="77"/>
      <c r="E166" s="77"/>
      <c r="F166" s="77"/>
      <c r="G166" s="78"/>
      <c r="H166" s="77">
        <f>H161+H164+H165+H163</f>
        <v>204.42000000000002</v>
      </c>
      <c r="I166" s="66" t="s">
        <v>112</v>
      </c>
      <c r="J166" s="66" t="s">
        <v>112</v>
      </c>
      <c r="K166" s="66" t="s">
        <v>112</v>
      </c>
      <c r="L166" s="66" t="s">
        <v>112</v>
      </c>
      <c r="M166" s="79"/>
      <c r="N166" s="79"/>
      <c r="O166" s="79"/>
      <c r="P166" s="79"/>
    </row>
    <row r="167" spans="1:16" s="29" customFormat="1" ht="12.75" customHeight="1">
      <c r="A167" s="74" t="s">
        <v>164</v>
      </c>
      <c r="B167" s="80" t="s">
        <v>208</v>
      </c>
      <c r="C167" s="76"/>
      <c r="D167" s="77"/>
      <c r="E167" s="77"/>
      <c r="F167" s="77"/>
      <c r="G167" s="78"/>
      <c r="H167" s="77"/>
      <c r="I167" s="66" t="s">
        <v>112</v>
      </c>
      <c r="J167" s="66" t="s">
        <v>112</v>
      </c>
      <c r="K167" s="66" t="s">
        <v>112</v>
      </c>
      <c r="L167" s="66" t="s">
        <v>112</v>
      </c>
      <c r="M167" s="79"/>
      <c r="N167" s="79"/>
      <c r="O167" s="79"/>
      <c r="P167" s="79"/>
    </row>
    <row r="168" spans="1:16" s="29" customFormat="1" ht="12.75" customHeight="1">
      <c r="A168" s="74" t="s">
        <v>164</v>
      </c>
      <c r="B168" s="80" t="s">
        <v>209</v>
      </c>
      <c r="C168" s="76" t="s">
        <v>170</v>
      </c>
      <c r="D168" s="77"/>
      <c r="E168" s="77"/>
      <c r="F168" s="77"/>
      <c r="G168" s="78">
        <v>2</v>
      </c>
      <c r="H168" s="77">
        <f>(105.1*((PI())*(0.08^2)))*G168</f>
        <v>4.226321765021277</v>
      </c>
      <c r="I168" s="66" t="s">
        <v>112</v>
      </c>
      <c r="J168" s="66" t="s">
        <v>112</v>
      </c>
      <c r="K168" s="66" t="s">
        <v>112</v>
      </c>
      <c r="L168" s="66" t="s">
        <v>112</v>
      </c>
      <c r="M168" s="79"/>
      <c r="N168" s="79"/>
      <c r="O168" s="79"/>
      <c r="P168" s="79"/>
    </row>
    <row r="169" spans="1:16" s="29" customFormat="1" ht="12.75" customHeight="1">
      <c r="A169" s="74" t="s">
        <v>164</v>
      </c>
      <c r="B169" s="80" t="s">
        <v>210</v>
      </c>
      <c r="C169" s="76" t="s">
        <v>170</v>
      </c>
      <c r="D169" s="77"/>
      <c r="E169" s="77"/>
      <c r="F169" s="77"/>
      <c r="G169" s="78">
        <v>2</v>
      </c>
      <c r="H169" s="77">
        <f>((65.2+10.6+18.1+85+10.9)*((PI())*(0.07^2)))*G169</f>
        <v>5.84348799938316</v>
      </c>
      <c r="I169" s="66" t="s">
        <v>112</v>
      </c>
      <c r="J169" s="66" t="s">
        <v>112</v>
      </c>
      <c r="K169" s="66" t="s">
        <v>112</v>
      </c>
      <c r="L169" s="66" t="s">
        <v>112</v>
      </c>
      <c r="M169" s="84"/>
      <c r="N169" s="79"/>
      <c r="O169" s="79"/>
      <c r="P169" s="79"/>
    </row>
    <row r="170" spans="1:16" s="29" customFormat="1" ht="12.75" customHeight="1">
      <c r="A170" s="74" t="s">
        <v>164</v>
      </c>
      <c r="B170" s="80" t="s">
        <v>207</v>
      </c>
      <c r="C170" s="76" t="s">
        <v>170</v>
      </c>
      <c r="D170" s="77"/>
      <c r="E170" s="77"/>
      <c r="F170" s="77"/>
      <c r="G170" s="78"/>
      <c r="H170" s="77">
        <f>H168+H169</f>
        <v>10.069809764404436</v>
      </c>
      <c r="I170" s="66" t="s">
        <v>112</v>
      </c>
      <c r="J170" s="66" t="s">
        <v>112</v>
      </c>
      <c r="K170" s="66" t="s">
        <v>112</v>
      </c>
      <c r="L170" s="66" t="s">
        <v>112</v>
      </c>
      <c r="M170" s="79"/>
      <c r="N170" s="79"/>
      <c r="O170" s="79"/>
      <c r="P170" s="79"/>
    </row>
    <row r="171" spans="1:16" s="29" customFormat="1" ht="25.5" customHeight="1">
      <c r="A171" s="74" t="s">
        <v>211</v>
      </c>
      <c r="B171" s="80" t="s">
        <v>212</v>
      </c>
      <c r="C171" s="76" t="s">
        <v>170</v>
      </c>
      <c r="D171" s="77"/>
      <c r="E171" s="77"/>
      <c r="F171" s="77"/>
      <c r="G171" s="78"/>
      <c r="H171" s="77">
        <f>(H166-H170)*1.15</f>
        <v>223.5027187709349</v>
      </c>
      <c r="I171" s="75"/>
      <c r="J171" s="75"/>
      <c r="K171" s="75"/>
      <c r="L171" s="75"/>
      <c r="M171" s="79"/>
      <c r="N171" s="79"/>
      <c r="O171" s="79"/>
      <c r="P171" s="79"/>
    </row>
    <row r="172" spans="1:16" s="29" customFormat="1" ht="25.5" customHeight="1">
      <c r="A172" s="74">
        <v>22</v>
      </c>
      <c r="B172" s="80" t="s">
        <v>213</v>
      </c>
      <c r="C172" s="76" t="s">
        <v>81</v>
      </c>
      <c r="D172" s="77"/>
      <c r="E172" s="77"/>
      <c r="F172" s="77"/>
      <c r="G172" s="78">
        <v>1</v>
      </c>
      <c r="H172" s="77">
        <f>G172</f>
        <v>1</v>
      </c>
      <c r="I172" s="75"/>
      <c r="J172" s="75"/>
      <c r="K172" s="75"/>
      <c r="L172" s="75"/>
      <c r="M172" s="79"/>
      <c r="N172" s="79"/>
      <c r="O172" s="79"/>
      <c r="P172" s="79"/>
    </row>
    <row r="173" spans="1:16" s="29" customFormat="1" ht="12.75" customHeight="1">
      <c r="A173" s="74">
        <v>23</v>
      </c>
      <c r="B173" s="75" t="s">
        <v>214</v>
      </c>
      <c r="C173" s="76" t="s">
        <v>183</v>
      </c>
      <c r="D173" s="77"/>
      <c r="E173" s="77"/>
      <c r="F173" s="77"/>
      <c r="G173" s="78">
        <f>2*G156</f>
        <v>10</v>
      </c>
      <c r="H173" s="77">
        <f>0.5*0.5*G173</f>
        <v>2.5</v>
      </c>
      <c r="I173" s="75"/>
      <c r="J173" s="75"/>
      <c r="K173" s="75"/>
      <c r="L173" s="75"/>
      <c r="M173" s="79"/>
      <c r="N173" s="79"/>
      <c r="O173" s="79"/>
      <c r="P173" s="79"/>
    </row>
    <row r="174" spans="1:16" s="29" customFormat="1" ht="12.75" customHeight="1">
      <c r="A174" s="74">
        <v>24</v>
      </c>
      <c r="B174" s="75" t="s">
        <v>215</v>
      </c>
      <c r="C174" s="76" t="s">
        <v>183</v>
      </c>
      <c r="D174" s="77"/>
      <c r="E174" s="77"/>
      <c r="F174" s="77"/>
      <c r="G174" s="78">
        <f>2*2</f>
        <v>4</v>
      </c>
      <c r="H174" s="77">
        <f>0.5*0.4*G174</f>
        <v>0.8</v>
      </c>
      <c r="I174" s="75"/>
      <c r="J174" s="75"/>
      <c r="K174" s="75"/>
      <c r="L174" s="75"/>
      <c r="M174" s="79"/>
      <c r="N174" s="79"/>
      <c r="O174" s="79"/>
      <c r="P174" s="79"/>
    </row>
    <row r="175" spans="1:16" s="29" customFormat="1" ht="25.5" customHeight="1">
      <c r="A175" s="74">
        <v>25</v>
      </c>
      <c r="B175" s="75" t="s">
        <v>216</v>
      </c>
      <c r="C175" s="76" t="s">
        <v>170</v>
      </c>
      <c r="D175" s="77"/>
      <c r="E175" s="77"/>
      <c r="F175" s="77"/>
      <c r="G175" s="78">
        <f>G156</f>
        <v>5</v>
      </c>
      <c r="H175" s="77">
        <f>0.5*0.5*0.4*G175</f>
        <v>0.5</v>
      </c>
      <c r="I175" s="75"/>
      <c r="J175" s="75"/>
      <c r="K175" s="75"/>
      <c r="L175" s="75"/>
      <c r="M175" s="79"/>
      <c r="N175" s="79"/>
      <c r="O175" s="79"/>
      <c r="P175" s="79"/>
    </row>
    <row r="176" spans="1:16" s="29" customFormat="1" ht="25.5" customHeight="1">
      <c r="A176" s="74">
        <v>26</v>
      </c>
      <c r="B176" s="75" t="s">
        <v>217</v>
      </c>
      <c r="C176" s="76" t="s">
        <v>170</v>
      </c>
      <c r="D176" s="77"/>
      <c r="E176" s="77"/>
      <c r="F176" s="77"/>
      <c r="G176" s="78">
        <v>2</v>
      </c>
      <c r="H176" s="77">
        <f>0.6*0.4*0.4*G176</f>
        <v>0.192</v>
      </c>
      <c r="I176" s="75"/>
      <c r="J176" s="75"/>
      <c r="K176" s="75"/>
      <c r="L176" s="75"/>
      <c r="M176" s="79"/>
      <c r="N176" s="79"/>
      <c r="O176" s="79"/>
      <c r="P176" s="79"/>
    </row>
    <row r="177" spans="1:16" s="29" customFormat="1" ht="12.75" customHeight="1">
      <c r="A177" s="74">
        <v>27</v>
      </c>
      <c r="B177" s="75" t="s">
        <v>218</v>
      </c>
      <c r="C177" s="76" t="s">
        <v>170</v>
      </c>
      <c r="D177" s="77"/>
      <c r="E177" s="77"/>
      <c r="F177" s="77"/>
      <c r="G177" s="78">
        <v>1</v>
      </c>
      <c r="H177" s="77">
        <f>((24.1*1.4)+(32*1.4)+(38.5*1.3)+(0.6*1.3)+(5.5*1.3)+(0.6*1.3)+(1.4*1.3)+(0.9*1.6)+(0.7*1.6)+(31*1.3)+(0.7*1.3))*1.25</f>
        <v>228.6125</v>
      </c>
      <c r="I177" s="75"/>
      <c r="J177" s="75"/>
      <c r="K177" s="85"/>
      <c r="L177" s="75"/>
      <c r="M177" s="79"/>
      <c r="N177" s="79"/>
      <c r="O177" s="79"/>
      <c r="P177" s="79"/>
    </row>
    <row r="178" spans="1:16" s="29" customFormat="1" ht="12.75" customHeight="1">
      <c r="A178" s="86" t="s">
        <v>219</v>
      </c>
      <c r="B178" s="75" t="s">
        <v>220</v>
      </c>
      <c r="C178" s="76" t="s">
        <v>170</v>
      </c>
      <c r="D178" s="77"/>
      <c r="E178" s="77"/>
      <c r="F178" s="77"/>
      <c r="G178" s="78"/>
      <c r="H178" s="77">
        <f>0.3*H177</f>
        <v>68.58375</v>
      </c>
      <c r="I178" s="75"/>
      <c r="J178" s="75"/>
      <c r="K178" s="75"/>
      <c r="L178" s="75"/>
      <c r="M178" s="79"/>
      <c r="N178" s="79"/>
      <c r="O178" s="79"/>
      <c r="P178" s="79"/>
    </row>
    <row r="179" spans="1:16" s="29" customFormat="1" ht="12.75" customHeight="1">
      <c r="A179" s="86" t="s">
        <v>221</v>
      </c>
      <c r="B179" s="75" t="s">
        <v>222</v>
      </c>
      <c r="C179" s="76" t="s">
        <v>170</v>
      </c>
      <c r="D179" s="77"/>
      <c r="E179" s="77"/>
      <c r="F179" s="77"/>
      <c r="G179" s="78"/>
      <c r="H179" s="77">
        <f>0.7*H177</f>
        <v>160.02875</v>
      </c>
      <c r="I179" s="81"/>
      <c r="J179" s="75"/>
      <c r="K179" s="75"/>
      <c r="L179" s="75"/>
      <c r="M179" s="79"/>
      <c r="N179" s="79"/>
      <c r="O179" s="79"/>
      <c r="P179" s="79"/>
    </row>
    <row r="180" spans="1:12" s="29" customFormat="1" ht="12.75" customHeight="1">
      <c r="A180" s="74">
        <v>28</v>
      </c>
      <c r="B180" s="24" t="s">
        <v>223</v>
      </c>
      <c r="C180" s="76" t="s">
        <v>170</v>
      </c>
      <c r="D180" s="82"/>
      <c r="E180" s="82"/>
      <c r="F180" s="82"/>
      <c r="G180" s="83">
        <v>1</v>
      </c>
      <c r="H180" s="82">
        <f>((51.2*1.4)+(11*1.3)+(5.6*1.3)+(23*1.3)+(7.7*1.6)+(22.6*1.3)+(17.7*1.3))*1.25</f>
        <v>234.83749999999998</v>
      </c>
      <c r="I180" s="16"/>
      <c r="J180" s="16"/>
      <c r="K180" s="16"/>
      <c r="L180" s="16"/>
    </row>
    <row r="181" spans="1:12" s="29" customFormat="1" ht="12.75" customHeight="1">
      <c r="A181" s="86" t="s">
        <v>224</v>
      </c>
      <c r="B181" s="16" t="s">
        <v>220</v>
      </c>
      <c r="C181" s="76" t="s">
        <v>170</v>
      </c>
      <c r="D181" s="82"/>
      <c r="E181" s="82"/>
      <c r="F181" s="82"/>
      <c r="G181" s="83"/>
      <c r="H181" s="82">
        <f>H180*0.3</f>
        <v>70.45124999999999</v>
      </c>
      <c r="I181" s="16"/>
      <c r="J181" s="16"/>
      <c r="K181" s="16"/>
      <c r="L181" s="16"/>
    </row>
    <row r="182" spans="1:12" s="88" customFormat="1" ht="12.75" customHeight="1">
      <c r="A182" s="86" t="s">
        <v>225</v>
      </c>
      <c r="B182" s="16" t="s">
        <v>222</v>
      </c>
      <c r="C182" s="76" t="s">
        <v>170</v>
      </c>
      <c r="D182" s="82"/>
      <c r="E182" s="82"/>
      <c r="F182" s="82"/>
      <c r="G182" s="83"/>
      <c r="H182" s="82">
        <f>H180*0.7</f>
        <v>164.38624999999996</v>
      </c>
      <c r="I182" s="87"/>
      <c r="J182" s="87"/>
      <c r="K182" s="87"/>
      <c r="L182" s="87"/>
    </row>
    <row r="183" spans="1:12" s="88" customFormat="1" ht="12.75" customHeight="1">
      <c r="A183" s="86" t="s">
        <v>226</v>
      </c>
      <c r="B183" s="16" t="s">
        <v>227</v>
      </c>
      <c r="C183" s="76" t="s">
        <v>183</v>
      </c>
      <c r="D183" s="82">
        <f>30.62+12.3+6.7+17.2+7.2+14.6+24.3</f>
        <v>112.92</v>
      </c>
      <c r="E183" s="82">
        <v>3</v>
      </c>
      <c r="F183" s="82"/>
      <c r="G183" s="83">
        <v>1</v>
      </c>
      <c r="H183" s="82">
        <f>D183*E183</f>
        <v>338.76</v>
      </c>
      <c r="I183" s="87"/>
      <c r="J183" s="87"/>
      <c r="K183" s="87"/>
      <c r="L183" s="87"/>
    </row>
    <row r="184" spans="1:12" s="29" customFormat="1" ht="12.75" customHeight="1">
      <c r="A184" s="89" t="s">
        <v>228</v>
      </c>
      <c r="B184" s="177" t="s">
        <v>229</v>
      </c>
      <c r="C184" s="177"/>
      <c r="D184" s="177"/>
      <c r="E184" s="177"/>
      <c r="F184" s="177"/>
      <c r="G184" s="177"/>
      <c r="H184" s="177"/>
      <c r="I184" s="150" t="s">
        <v>350</v>
      </c>
      <c r="J184" s="150" t="s">
        <v>350</v>
      </c>
      <c r="K184" s="150" t="s">
        <v>350</v>
      </c>
      <c r="L184" s="150" t="s">
        <v>350</v>
      </c>
    </row>
    <row r="185" spans="1:12" s="94" customFormat="1" ht="12.75" customHeight="1">
      <c r="A185" s="66">
        <v>1</v>
      </c>
      <c r="B185" s="16" t="s">
        <v>230</v>
      </c>
      <c r="C185" s="76" t="s">
        <v>166</v>
      </c>
      <c r="D185" s="90">
        <v>0.2</v>
      </c>
      <c r="E185" s="90">
        <v>0.2</v>
      </c>
      <c r="F185" s="90">
        <v>0.1</v>
      </c>
      <c r="G185" s="91">
        <v>2</v>
      </c>
      <c r="H185" s="92">
        <f>D185*E185*F185*G185*2</f>
        <v>0.016000000000000004</v>
      </c>
      <c r="I185" s="93"/>
      <c r="J185" s="93"/>
      <c r="K185" s="93"/>
      <c r="L185" s="93"/>
    </row>
    <row r="186" spans="1:12" s="94" customFormat="1" ht="12.75" customHeight="1">
      <c r="A186" s="66">
        <v>2</v>
      </c>
      <c r="B186" s="95" t="s">
        <v>231</v>
      </c>
      <c r="C186" s="5" t="s">
        <v>63</v>
      </c>
      <c r="D186" s="90"/>
      <c r="E186" s="90"/>
      <c r="F186" s="90"/>
      <c r="G186" s="91">
        <v>2</v>
      </c>
      <c r="H186" s="92">
        <f>G186*1.26*2</f>
        <v>5.04</v>
      </c>
      <c r="I186" s="93"/>
      <c r="J186" s="93"/>
      <c r="K186" s="93"/>
      <c r="L186" s="93"/>
    </row>
    <row r="187" spans="1:12" s="94" customFormat="1" ht="12.75" customHeight="1">
      <c r="A187" s="66">
        <v>3</v>
      </c>
      <c r="B187" s="16" t="s">
        <v>232</v>
      </c>
      <c r="C187" s="5" t="s">
        <v>63</v>
      </c>
      <c r="D187" s="90"/>
      <c r="E187" s="90"/>
      <c r="F187" s="90"/>
      <c r="G187" s="91">
        <v>2</v>
      </c>
      <c r="H187" s="92">
        <f>1.28*G187*2</f>
        <v>5.12</v>
      </c>
      <c r="I187" s="93"/>
      <c r="J187" s="93"/>
      <c r="K187" s="93"/>
      <c r="L187" s="93"/>
    </row>
    <row r="188" spans="1:12" s="94" customFormat="1" ht="12.75" customHeight="1">
      <c r="A188" s="66">
        <v>4</v>
      </c>
      <c r="B188" s="93" t="s">
        <v>233</v>
      </c>
      <c r="C188" s="76" t="s">
        <v>191</v>
      </c>
      <c r="D188" s="90">
        <f>0.2*2+0.2*2</f>
        <v>0.8</v>
      </c>
      <c r="E188" s="90"/>
      <c r="F188" s="90">
        <v>0.1</v>
      </c>
      <c r="G188" s="91">
        <v>2</v>
      </c>
      <c r="H188" s="92">
        <f>D188*F188*G188*2</f>
        <v>0.32000000000000006</v>
      </c>
      <c r="I188" s="93"/>
      <c r="J188" s="93"/>
      <c r="K188" s="93"/>
      <c r="L188" s="93"/>
    </row>
    <row r="189" spans="1:12" s="94" customFormat="1" ht="12.75" customHeight="1">
      <c r="A189" s="66">
        <v>5</v>
      </c>
      <c r="B189" s="93" t="s">
        <v>234</v>
      </c>
      <c r="C189" s="76" t="s">
        <v>166</v>
      </c>
      <c r="D189" s="90">
        <v>0.2</v>
      </c>
      <c r="E189" s="90">
        <v>0.2</v>
      </c>
      <c r="F189" s="90">
        <v>0.03</v>
      </c>
      <c r="G189" s="91">
        <v>2</v>
      </c>
      <c r="H189" s="96">
        <f>D189*E189*F189*G189*2</f>
        <v>0.0048000000000000004</v>
      </c>
      <c r="I189" s="93"/>
      <c r="J189" s="93"/>
      <c r="K189" s="93"/>
      <c r="L189" s="93"/>
    </row>
    <row r="190" spans="1:12" s="29" customFormat="1" ht="12.75" customHeight="1">
      <c r="A190" s="97" t="s">
        <v>78</v>
      </c>
      <c r="B190" s="178" t="s">
        <v>235</v>
      </c>
      <c r="C190" s="178"/>
      <c r="D190" s="178"/>
      <c r="E190" s="178"/>
      <c r="F190" s="178"/>
      <c r="G190" s="178"/>
      <c r="H190" s="178"/>
      <c r="I190" s="150" t="s">
        <v>350</v>
      </c>
      <c r="J190" s="150" t="s">
        <v>350</v>
      </c>
      <c r="K190" s="150" t="s">
        <v>350</v>
      </c>
      <c r="L190" s="150" t="s">
        <v>350</v>
      </c>
    </row>
    <row r="191" spans="1:12" s="29" customFormat="1" ht="12.75" customHeight="1">
      <c r="A191" s="74" t="s">
        <v>162</v>
      </c>
      <c r="B191" s="16" t="s">
        <v>236</v>
      </c>
      <c r="C191" s="76" t="s">
        <v>170</v>
      </c>
      <c r="D191" s="82">
        <v>1.1</v>
      </c>
      <c r="E191" s="82">
        <v>0.75</v>
      </c>
      <c r="F191" s="82">
        <v>0.1</v>
      </c>
      <c r="G191" s="83">
        <v>1</v>
      </c>
      <c r="H191" s="82">
        <f>D191*E191*F191*G191</f>
        <v>0.08250000000000002</v>
      </c>
      <c r="I191" s="98"/>
      <c r="J191" s="99"/>
      <c r="K191" s="98"/>
      <c r="L191" s="16"/>
    </row>
    <row r="192" spans="1:12" s="29" customFormat="1" ht="12.75" customHeight="1">
      <c r="A192" s="74" t="s">
        <v>178</v>
      </c>
      <c r="B192" s="16" t="s">
        <v>230</v>
      </c>
      <c r="C192" s="76" t="s">
        <v>170</v>
      </c>
      <c r="D192" s="82">
        <v>1.1</v>
      </c>
      <c r="E192" s="82">
        <v>0.75</v>
      </c>
      <c r="F192" s="82">
        <v>0.8</v>
      </c>
      <c r="G192" s="83">
        <v>1</v>
      </c>
      <c r="H192" s="82">
        <f>D192*E192*F192*G192</f>
        <v>0.6600000000000001</v>
      </c>
      <c r="I192" s="98"/>
      <c r="J192" s="99"/>
      <c r="K192" s="98"/>
      <c r="L192" s="16"/>
    </row>
    <row r="193" spans="1:12" s="29" customFormat="1" ht="12.75" customHeight="1">
      <c r="A193" s="74" t="s">
        <v>181</v>
      </c>
      <c r="B193" s="16" t="s">
        <v>237</v>
      </c>
      <c r="C193" s="76" t="s">
        <v>183</v>
      </c>
      <c r="D193" s="82"/>
      <c r="E193" s="82"/>
      <c r="F193" s="82"/>
      <c r="G193" s="83">
        <v>1</v>
      </c>
      <c r="H193" s="82">
        <f>(1.1*2+0.75*2)*0.8</f>
        <v>2.9600000000000004</v>
      </c>
      <c r="I193" s="99"/>
      <c r="J193" s="99"/>
      <c r="K193" s="99"/>
      <c r="L193" s="16"/>
    </row>
    <row r="194" spans="1:12" s="29" customFormat="1" ht="12.75" customHeight="1">
      <c r="A194" s="74" t="s">
        <v>184</v>
      </c>
      <c r="B194" s="16" t="s">
        <v>238</v>
      </c>
      <c r="C194" s="5" t="s">
        <v>63</v>
      </c>
      <c r="D194" s="82"/>
      <c r="E194" s="82"/>
      <c r="F194" s="82"/>
      <c r="G194" s="83">
        <v>1</v>
      </c>
      <c r="H194" s="82">
        <v>24.44</v>
      </c>
      <c r="I194" s="98"/>
      <c r="J194" s="99"/>
      <c r="K194" s="98"/>
      <c r="L194" s="16"/>
    </row>
    <row r="195" spans="1:16" s="29" customFormat="1" ht="12.75" customHeight="1">
      <c r="A195" s="100" t="s">
        <v>239</v>
      </c>
      <c r="B195" s="179" t="s">
        <v>240</v>
      </c>
      <c r="C195" s="179"/>
      <c r="D195" s="179"/>
      <c r="E195" s="179"/>
      <c r="F195" s="179"/>
      <c r="G195" s="179"/>
      <c r="H195" s="179"/>
      <c r="I195" s="150" t="s">
        <v>350</v>
      </c>
      <c r="J195" s="150" t="s">
        <v>350</v>
      </c>
      <c r="K195" s="150" t="s">
        <v>350</v>
      </c>
      <c r="L195" s="150" t="s">
        <v>350</v>
      </c>
      <c r="M195" s="79"/>
      <c r="N195" s="79"/>
      <c r="O195" s="79"/>
      <c r="P195" s="79"/>
    </row>
    <row r="196" spans="1:16" s="29" customFormat="1" ht="12.75" customHeight="1">
      <c r="A196" s="101" t="s">
        <v>164</v>
      </c>
      <c r="B196" s="80" t="s">
        <v>241</v>
      </c>
      <c r="C196" s="102"/>
      <c r="D196" s="103"/>
      <c r="E196" s="103"/>
      <c r="F196" s="103"/>
      <c r="G196" s="104"/>
      <c r="H196" s="77"/>
      <c r="I196" s="66" t="s">
        <v>112</v>
      </c>
      <c r="J196" s="66" t="s">
        <v>112</v>
      </c>
      <c r="K196" s="66" t="s">
        <v>112</v>
      </c>
      <c r="L196" s="66" t="s">
        <v>112</v>
      </c>
      <c r="M196" s="79"/>
      <c r="N196" s="79"/>
      <c r="O196" s="79"/>
      <c r="P196" s="79"/>
    </row>
    <row r="197" spans="1:16" s="29" customFormat="1" ht="12.75" customHeight="1">
      <c r="A197" s="74" t="s">
        <v>162</v>
      </c>
      <c r="B197" s="75" t="s">
        <v>242</v>
      </c>
      <c r="C197" s="76" t="s">
        <v>170</v>
      </c>
      <c r="D197" s="77">
        <v>1.5</v>
      </c>
      <c r="E197" s="77">
        <v>0.4</v>
      </c>
      <c r="F197" s="77">
        <v>0.15</v>
      </c>
      <c r="G197" s="78">
        <v>2</v>
      </c>
      <c r="H197" s="77">
        <f>G197*F197*E197*D197</f>
        <v>0.18</v>
      </c>
      <c r="I197" s="75"/>
      <c r="J197" s="75"/>
      <c r="K197" s="75"/>
      <c r="L197" s="75"/>
      <c r="M197" s="79"/>
      <c r="N197" s="79"/>
      <c r="O197" s="79"/>
      <c r="P197" s="79"/>
    </row>
    <row r="198" spans="1:16" s="29" customFormat="1" ht="12.75" customHeight="1">
      <c r="A198" s="74" t="s">
        <v>178</v>
      </c>
      <c r="B198" s="80" t="s">
        <v>243</v>
      </c>
      <c r="C198" s="76" t="s">
        <v>183</v>
      </c>
      <c r="D198" s="77">
        <f>1.5*2+0.4*2</f>
        <v>3.8</v>
      </c>
      <c r="E198" s="77"/>
      <c r="F198" s="77">
        <v>0.15</v>
      </c>
      <c r="G198" s="78">
        <v>2</v>
      </c>
      <c r="H198" s="77">
        <f>G198*F198*D198</f>
        <v>1.14</v>
      </c>
      <c r="I198" s="75"/>
      <c r="J198" s="75"/>
      <c r="K198" s="75"/>
      <c r="L198" s="75"/>
      <c r="M198" s="79"/>
      <c r="N198" s="79"/>
      <c r="O198" s="79"/>
      <c r="P198" s="79"/>
    </row>
    <row r="199" spans="1:12" s="29" customFormat="1" ht="12.75" customHeight="1">
      <c r="A199" s="74" t="s">
        <v>181</v>
      </c>
      <c r="B199" s="16" t="s">
        <v>238</v>
      </c>
      <c r="C199" s="5" t="s">
        <v>63</v>
      </c>
      <c r="D199" s="82"/>
      <c r="E199" s="82"/>
      <c r="F199" s="82"/>
      <c r="G199" s="83">
        <v>2</v>
      </c>
      <c r="H199" s="82">
        <f>25.2*G199</f>
        <v>50.4</v>
      </c>
      <c r="I199" s="98"/>
      <c r="J199" s="99"/>
      <c r="K199" s="98"/>
      <c r="L199" s="16"/>
    </row>
    <row r="200" spans="1:12" s="29" customFormat="1" ht="12.75" customHeight="1">
      <c r="A200" s="102" t="s">
        <v>164</v>
      </c>
      <c r="B200" s="80" t="s">
        <v>244</v>
      </c>
      <c r="C200" s="5"/>
      <c r="D200" s="82"/>
      <c r="E200" s="82"/>
      <c r="F200" s="82"/>
      <c r="G200" s="83"/>
      <c r="H200" s="82"/>
      <c r="I200" s="66" t="s">
        <v>112</v>
      </c>
      <c r="J200" s="66" t="s">
        <v>112</v>
      </c>
      <c r="K200" s="66" t="s">
        <v>112</v>
      </c>
      <c r="L200" s="66" t="s">
        <v>112</v>
      </c>
    </row>
    <row r="201" spans="1:16" s="29" customFormat="1" ht="12.75" customHeight="1">
      <c r="A201" s="74" t="s">
        <v>162</v>
      </c>
      <c r="B201" s="75" t="s">
        <v>245</v>
      </c>
      <c r="C201" s="76" t="s">
        <v>170</v>
      </c>
      <c r="D201" s="77"/>
      <c r="E201" s="77"/>
      <c r="F201" s="77"/>
      <c r="G201" s="78">
        <v>2</v>
      </c>
      <c r="H201" s="77">
        <f>0.336*G201</f>
        <v>0.672</v>
      </c>
      <c r="I201" s="75"/>
      <c r="J201" s="75"/>
      <c r="K201" s="75"/>
      <c r="L201" s="75"/>
      <c r="M201" s="79"/>
      <c r="N201" s="79"/>
      <c r="O201" s="79"/>
      <c r="P201" s="79"/>
    </row>
    <row r="202" spans="1:16" s="29" customFormat="1" ht="12.75" customHeight="1">
      <c r="A202" s="74" t="s">
        <v>178</v>
      </c>
      <c r="B202" s="75" t="s">
        <v>246</v>
      </c>
      <c r="C202" s="76" t="s">
        <v>170</v>
      </c>
      <c r="D202" s="77"/>
      <c r="E202" s="77"/>
      <c r="F202" s="77"/>
      <c r="G202" s="78">
        <v>1</v>
      </c>
      <c r="H202" s="77">
        <f>0.83*0.2</f>
        <v>0.166</v>
      </c>
      <c r="I202" s="75"/>
      <c r="J202" s="75"/>
      <c r="K202" s="75"/>
      <c r="L202" s="75"/>
      <c r="M202" s="79"/>
      <c r="N202" s="79"/>
      <c r="O202" s="79"/>
      <c r="P202" s="79"/>
    </row>
    <row r="203" spans="1:12" s="29" customFormat="1" ht="12.75" customHeight="1">
      <c r="A203" s="74" t="s">
        <v>181</v>
      </c>
      <c r="B203" s="16" t="s">
        <v>238</v>
      </c>
      <c r="C203" s="5" t="s">
        <v>63</v>
      </c>
      <c r="D203" s="82"/>
      <c r="E203" s="82"/>
      <c r="F203" s="82"/>
      <c r="G203" s="83">
        <v>1</v>
      </c>
      <c r="H203" s="82">
        <v>35.83</v>
      </c>
      <c r="I203" s="98"/>
      <c r="J203" s="99"/>
      <c r="K203" s="98"/>
      <c r="L203" s="16"/>
    </row>
    <row r="204" spans="1:16" s="29" customFormat="1" ht="12.75" customHeight="1">
      <c r="A204" s="74" t="s">
        <v>184</v>
      </c>
      <c r="B204" s="75" t="s">
        <v>247</v>
      </c>
      <c r="C204" s="76" t="s">
        <v>170</v>
      </c>
      <c r="D204" s="77">
        <f>2*3.14*0.6</f>
        <v>3.768</v>
      </c>
      <c r="E204" s="77">
        <v>0.25</v>
      </c>
      <c r="F204" s="77">
        <v>1.42</v>
      </c>
      <c r="G204" s="78">
        <v>1</v>
      </c>
      <c r="H204" s="77">
        <f>G204*F204*E204*D204</f>
        <v>1.33764</v>
      </c>
      <c r="I204" s="75"/>
      <c r="J204" s="75"/>
      <c r="K204" s="75"/>
      <c r="L204" s="75"/>
      <c r="M204" s="79"/>
      <c r="N204" s="79"/>
      <c r="O204" s="79"/>
      <c r="P204" s="79"/>
    </row>
    <row r="205" spans="1:16" s="29" customFormat="1" ht="12.75" customHeight="1">
      <c r="A205" s="74" t="s">
        <v>186</v>
      </c>
      <c r="B205" s="75" t="s">
        <v>248</v>
      </c>
      <c r="C205" s="76" t="s">
        <v>170</v>
      </c>
      <c r="D205" s="77"/>
      <c r="E205" s="77"/>
      <c r="F205" s="77"/>
      <c r="G205" s="78">
        <v>1</v>
      </c>
      <c r="H205" s="77">
        <f>H204*0.25</f>
        <v>0.33441</v>
      </c>
      <c r="I205" s="75"/>
      <c r="J205" s="75"/>
      <c r="K205" s="75"/>
      <c r="L205" s="75"/>
      <c r="M205" s="79"/>
      <c r="N205" s="79"/>
      <c r="O205" s="79"/>
      <c r="P205" s="79"/>
    </row>
    <row r="206" spans="1:16" s="29" customFormat="1" ht="25.5" customHeight="1">
      <c r="A206" s="74" t="s">
        <v>249</v>
      </c>
      <c r="B206" s="75" t="s">
        <v>250</v>
      </c>
      <c r="C206" s="76" t="s">
        <v>183</v>
      </c>
      <c r="D206" s="77">
        <f>2*2+0.4*2</f>
        <v>4.8</v>
      </c>
      <c r="E206" s="77"/>
      <c r="F206" s="77">
        <v>0.51</v>
      </c>
      <c r="G206" s="78">
        <v>2</v>
      </c>
      <c r="H206" s="77">
        <f>D206*F206*G206</f>
        <v>4.896</v>
      </c>
      <c r="I206" s="75"/>
      <c r="J206" s="75"/>
      <c r="K206" s="75"/>
      <c r="L206" s="75"/>
      <c r="M206" s="79"/>
      <c r="N206" s="79"/>
      <c r="O206" s="79"/>
      <c r="P206" s="79"/>
    </row>
    <row r="207" spans="1:16" s="29" customFormat="1" ht="12.75" customHeight="1">
      <c r="A207" s="74" t="s">
        <v>251</v>
      </c>
      <c r="B207" s="75" t="s">
        <v>252</v>
      </c>
      <c r="C207" s="76" t="s">
        <v>81</v>
      </c>
      <c r="D207" s="77"/>
      <c r="E207" s="77"/>
      <c r="F207" s="77"/>
      <c r="G207" s="78">
        <v>1</v>
      </c>
      <c r="H207" s="77">
        <f>G207</f>
        <v>1</v>
      </c>
      <c r="I207" s="75"/>
      <c r="J207" s="75"/>
      <c r="K207" s="75"/>
      <c r="L207" s="75"/>
      <c r="M207" s="79"/>
      <c r="N207" s="79"/>
      <c r="O207" s="79"/>
      <c r="P207" s="79"/>
    </row>
    <row r="208" spans="1:12" s="29" customFormat="1" ht="12.75" customHeight="1">
      <c r="A208" s="97" t="s">
        <v>15</v>
      </c>
      <c r="B208" s="178" t="s">
        <v>253</v>
      </c>
      <c r="C208" s="178"/>
      <c r="D208" s="178"/>
      <c r="E208" s="178"/>
      <c r="F208" s="178"/>
      <c r="G208" s="178"/>
      <c r="H208" s="178"/>
      <c r="I208" s="150" t="s">
        <v>350</v>
      </c>
      <c r="J208" s="150" t="s">
        <v>350</v>
      </c>
      <c r="K208" s="150" t="s">
        <v>350</v>
      </c>
      <c r="L208" s="150" t="s">
        <v>350</v>
      </c>
    </row>
    <row r="209" spans="1:16" s="29" customFormat="1" ht="12.75" customHeight="1">
      <c r="A209" s="74" t="s">
        <v>162</v>
      </c>
      <c r="B209" s="75" t="s">
        <v>254</v>
      </c>
      <c r="C209" s="76" t="s">
        <v>63</v>
      </c>
      <c r="D209" s="77"/>
      <c r="E209" s="77"/>
      <c r="F209" s="77"/>
      <c r="G209" s="78">
        <v>1</v>
      </c>
      <c r="H209" s="77">
        <v>50</v>
      </c>
      <c r="I209" s="75"/>
      <c r="J209" s="75"/>
      <c r="K209" s="75"/>
      <c r="L209" s="75"/>
      <c r="M209" s="79"/>
      <c r="N209" s="79"/>
      <c r="O209" s="79"/>
      <c r="P209" s="79"/>
    </row>
    <row r="210" spans="1:16" s="29" customFormat="1" ht="12.75" customHeight="1">
      <c r="A210" s="74" t="s">
        <v>178</v>
      </c>
      <c r="B210" s="80" t="s">
        <v>255</v>
      </c>
      <c r="C210" s="76" t="s">
        <v>63</v>
      </c>
      <c r="D210" s="77"/>
      <c r="E210" s="77"/>
      <c r="F210" s="77"/>
      <c r="G210" s="78">
        <v>1</v>
      </c>
      <c r="H210" s="77">
        <f>H209*0.7</f>
        <v>35</v>
      </c>
      <c r="I210" s="76"/>
      <c r="J210" s="105"/>
      <c r="K210" s="80"/>
      <c r="L210" s="76"/>
      <c r="M210" s="106"/>
      <c r="N210" s="106"/>
      <c r="O210" s="107"/>
      <c r="P210" s="106"/>
    </row>
    <row r="211" spans="1:14" s="29" customFormat="1" ht="12.75" customHeight="1">
      <c r="A211" s="74" t="s">
        <v>181</v>
      </c>
      <c r="B211" s="24" t="s">
        <v>256</v>
      </c>
      <c r="C211" s="5" t="s">
        <v>63</v>
      </c>
      <c r="D211" s="82"/>
      <c r="E211" s="82"/>
      <c r="F211" s="82"/>
      <c r="G211" s="83">
        <v>1</v>
      </c>
      <c r="H211" s="82">
        <v>268.8</v>
      </c>
      <c r="I211" s="16"/>
      <c r="J211" s="5"/>
      <c r="K211" s="24"/>
      <c r="L211" s="5"/>
      <c r="M211" s="108"/>
      <c r="N211" s="108"/>
    </row>
    <row r="212" spans="1:14" s="29" customFormat="1" ht="12.75" customHeight="1">
      <c r="A212" s="74" t="s">
        <v>184</v>
      </c>
      <c r="B212" s="24" t="s">
        <v>257</v>
      </c>
      <c r="C212" s="76" t="s">
        <v>183</v>
      </c>
      <c r="D212" s="82"/>
      <c r="E212" s="82"/>
      <c r="F212" s="109"/>
      <c r="G212" s="83">
        <v>1</v>
      </c>
      <c r="H212" s="82">
        <f>H211*0.035</f>
        <v>9.408000000000001</v>
      </c>
      <c r="I212" s="16"/>
      <c r="J212" s="5"/>
      <c r="K212" s="24"/>
      <c r="L212" s="5"/>
      <c r="M212" s="108"/>
      <c r="N212" s="110"/>
    </row>
    <row r="213" spans="1:12" s="29" customFormat="1" ht="12.75" customHeight="1">
      <c r="A213" s="74">
        <v>5</v>
      </c>
      <c r="B213" s="24" t="s">
        <v>258</v>
      </c>
      <c r="C213" s="76" t="s">
        <v>183</v>
      </c>
      <c r="D213" s="82">
        <v>2.5</v>
      </c>
      <c r="E213" s="82">
        <v>2</v>
      </c>
      <c r="F213" s="82"/>
      <c r="G213" s="83">
        <v>2</v>
      </c>
      <c r="H213" s="82">
        <f>D213*E213*G213</f>
        <v>10</v>
      </c>
      <c r="I213" s="5"/>
      <c r="J213" s="4"/>
      <c r="K213" s="16"/>
      <c r="L213" s="16"/>
    </row>
    <row r="214" spans="1:14" s="29" customFormat="1" ht="12.75" customHeight="1">
      <c r="A214" s="74">
        <v>6</v>
      </c>
      <c r="B214" s="24" t="s">
        <v>259</v>
      </c>
      <c r="C214" s="5" t="s">
        <v>81</v>
      </c>
      <c r="D214" s="82"/>
      <c r="E214" s="82"/>
      <c r="F214" s="82"/>
      <c r="G214" s="83">
        <v>2</v>
      </c>
      <c r="H214" s="82">
        <f>G214</f>
        <v>2</v>
      </c>
      <c r="I214" s="16"/>
      <c r="J214" s="5"/>
      <c r="K214" s="24"/>
      <c r="L214" s="16"/>
      <c r="M214" s="67"/>
      <c r="N214" s="108"/>
    </row>
    <row r="215" spans="1:14" s="29" customFormat="1" ht="12.75" customHeight="1">
      <c r="A215" s="74">
        <v>7</v>
      </c>
      <c r="B215" s="24" t="s">
        <v>260</v>
      </c>
      <c r="C215" s="5" t="s">
        <v>81</v>
      </c>
      <c r="D215" s="82"/>
      <c r="E215" s="82"/>
      <c r="F215" s="82"/>
      <c r="G215" s="83">
        <v>2</v>
      </c>
      <c r="H215" s="82">
        <f>G215</f>
        <v>2</v>
      </c>
      <c r="I215" s="16"/>
      <c r="J215" s="5"/>
      <c r="K215" s="24"/>
      <c r="L215" s="5"/>
      <c r="M215" s="108"/>
      <c r="N215" s="108"/>
    </row>
    <row r="216" spans="1:16" s="29" customFormat="1" ht="12.75" customHeight="1">
      <c r="A216" s="100" t="s">
        <v>104</v>
      </c>
      <c r="B216" s="179" t="s">
        <v>261</v>
      </c>
      <c r="C216" s="179"/>
      <c r="D216" s="179"/>
      <c r="E216" s="179"/>
      <c r="F216" s="179"/>
      <c r="G216" s="179"/>
      <c r="H216" s="179"/>
      <c r="I216" s="150" t="s">
        <v>350</v>
      </c>
      <c r="J216" s="150" t="s">
        <v>350</v>
      </c>
      <c r="K216" s="150" t="s">
        <v>350</v>
      </c>
      <c r="L216" s="150" t="s">
        <v>350</v>
      </c>
      <c r="M216" s="111"/>
      <c r="N216" s="111"/>
      <c r="O216" s="79"/>
      <c r="P216" s="79"/>
    </row>
    <row r="217" spans="1:16" s="29" customFormat="1" ht="12.75" customHeight="1">
      <c r="A217" s="74" t="s">
        <v>162</v>
      </c>
      <c r="B217" s="75" t="s">
        <v>262</v>
      </c>
      <c r="C217" s="76" t="s">
        <v>62</v>
      </c>
      <c r="D217" s="77"/>
      <c r="E217" s="77"/>
      <c r="F217" s="77"/>
      <c r="G217" s="78">
        <v>2</v>
      </c>
      <c r="H217" s="77">
        <f>(171+11+20+11+86)*G217+10</f>
        <v>608</v>
      </c>
      <c r="I217" s="75"/>
      <c r="J217" s="76"/>
      <c r="K217" s="80"/>
      <c r="L217" s="76"/>
      <c r="M217" s="111"/>
      <c r="N217" s="111"/>
      <c r="O217" s="79"/>
      <c r="P217" s="79"/>
    </row>
    <row r="218" spans="1:16" s="29" customFormat="1" ht="12.75" customHeight="1">
      <c r="A218" s="74" t="s">
        <v>178</v>
      </c>
      <c r="B218" s="75" t="s">
        <v>263</v>
      </c>
      <c r="C218" s="76" t="s">
        <v>81</v>
      </c>
      <c r="D218" s="77"/>
      <c r="E218" s="77"/>
      <c r="F218" s="77"/>
      <c r="G218" s="78">
        <v>2</v>
      </c>
      <c r="H218" s="77">
        <f>G218</f>
        <v>2</v>
      </c>
      <c r="I218" s="75"/>
      <c r="J218" s="76"/>
      <c r="K218" s="80"/>
      <c r="L218" s="76"/>
      <c r="M218" s="111"/>
      <c r="N218" s="112"/>
      <c r="O218" s="79"/>
      <c r="P218" s="79"/>
    </row>
    <row r="219" spans="1:16" s="29" customFormat="1" ht="12.75" customHeight="1">
      <c r="A219" s="74" t="s">
        <v>181</v>
      </c>
      <c r="B219" s="75" t="s">
        <v>264</v>
      </c>
      <c r="C219" s="76" t="s">
        <v>81</v>
      </c>
      <c r="D219" s="77"/>
      <c r="E219" s="77"/>
      <c r="F219" s="77"/>
      <c r="G219" s="78">
        <v>8</v>
      </c>
      <c r="H219" s="77">
        <f>G219</f>
        <v>8</v>
      </c>
      <c r="I219" s="75"/>
      <c r="J219" s="76"/>
      <c r="K219" s="80"/>
      <c r="L219" s="75"/>
      <c r="M219" s="111"/>
      <c r="N219" s="111"/>
      <c r="O219" s="79"/>
      <c r="P219" s="79"/>
    </row>
    <row r="220" spans="1:16" s="29" customFormat="1" ht="25.5" customHeight="1">
      <c r="A220" s="74" t="s">
        <v>184</v>
      </c>
      <c r="B220" s="75" t="s">
        <v>265</v>
      </c>
      <c r="C220" s="76" t="s">
        <v>62</v>
      </c>
      <c r="D220" s="77"/>
      <c r="E220" s="77"/>
      <c r="F220" s="77"/>
      <c r="G220" s="78">
        <v>1</v>
      </c>
      <c r="H220" s="77">
        <f>H217/2</f>
        <v>304</v>
      </c>
      <c r="I220" s="75"/>
      <c r="J220" s="76"/>
      <c r="K220" s="80"/>
      <c r="L220" s="76"/>
      <c r="M220" s="111"/>
      <c r="N220" s="111"/>
      <c r="O220" s="79"/>
      <c r="P220" s="79"/>
    </row>
    <row r="221" spans="1:12" s="29" customFormat="1" ht="27" customHeight="1">
      <c r="A221" s="113" t="s">
        <v>266</v>
      </c>
      <c r="B221" s="114" t="s">
        <v>267</v>
      </c>
      <c r="C221" s="115" t="s">
        <v>268</v>
      </c>
      <c r="D221" s="167" t="s">
        <v>269</v>
      </c>
      <c r="E221" s="168"/>
      <c r="F221" s="169" t="s">
        <v>270</v>
      </c>
      <c r="G221" s="170"/>
      <c r="H221" s="61" t="s">
        <v>271</v>
      </c>
      <c r="I221" s="116"/>
      <c r="J221" s="116"/>
      <c r="K221" s="116"/>
      <c r="L221" s="116"/>
    </row>
    <row r="222" spans="1:12" s="29" customFormat="1" ht="12.75" customHeight="1">
      <c r="A222" s="9" t="s">
        <v>26</v>
      </c>
      <c r="B222" s="171" t="s">
        <v>272</v>
      </c>
      <c r="C222" s="172"/>
      <c r="D222" s="172"/>
      <c r="E222" s="172"/>
      <c r="F222" s="172"/>
      <c r="G222" s="172"/>
      <c r="H222" s="173"/>
      <c r="I222" s="150" t="s">
        <v>350</v>
      </c>
      <c r="J222" s="150" t="s">
        <v>350</v>
      </c>
      <c r="K222" s="150" t="s">
        <v>350</v>
      </c>
      <c r="L222" s="150" t="s">
        <v>350</v>
      </c>
    </row>
    <row r="223" spans="1:12" s="29" customFormat="1" ht="12.75" customHeight="1">
      <c r="A223" s="117">
        <v>1</v>
      </c>
      <c r="B223" s="118" t="s">
        <v>273</v>
      </c>
      <c r="C223" s="119"/>
      <c r="D223" s="155"/>
      <c r="E223" s="164"/>
      <c r="F223" s="157"/>
      <c r="G223" s="158"/>
      <c r="H223" s="120"/>
      <c r="I223" s="66" t="s">
        <v>112</v>
      </c>
      <c r="J223" s="66" t="s">
        <v>112</v>
      </c>
      <c r="K223" s="66" t="s">
        <v>112</v>
      </c>
      <c r="L223" s="66" t="s">
        <v>112</v>
      </c>
    </row>
    <row r="224" spans="1:12" s="29" customFormat="1" ht="12.75" customHeight="1">
      <c r="A224" s="122" t="s">
        <v>39</v>
      </c>
      <c r="B224" s="16" t="s">
        <v>274</v>
      </c>
      <c r="C224" s="117" t="s">
        <v>275</v>
      </c>
      <c r="D224" s="155">
        <v>0.1</v>
      </c>
      <c r="E224" s="164"/>
      <c r="F224" s="157">
        <v>70</v>
      </c>
      <c r="G224" s="158"/>
      <c r="H224" s="123">
        <f aca="true" t="shared" si="0" ref="H224:H231">D224*F224</f>
        <v>7</v>
      </c>
      <c r="I224" s="121"/>
      <c r="J224" s="16"/>
      <c r="K224" s="16"/>
      <c r="L224" s="16"/>
    </row>
    <row r="225" spans="1:12" s="29" customFormat="1" ht="12.75" customHeight="1">
      <c r="A225" s="122" t="s">
        <v>40</v>
      </c>
      <c r="B225" s="16" t="s">
        <v>276</v>
      </c>
      <c r="C225" s="117" t="s">
        <v>275</v>
      </c>
      <c r="D225" s="155">
        <v>0.1</v>
      </c>
      <c r="E225" s="164"/>
      <c r="F225" s="157">
        <v>70</v>
      </c>
      <c r="G225" s="158"/>
      <c r="H225" s="123">
        <f t="shared" si="0"/>
        <v>7</v>
      </c>
      <c r="I225" s="121"/>
      <c r="J225" s="16"/>
      <c r="K225" s="16"/>
      <c r="L225" s="16"/>
    </row>
    <row r="226" spans="1:12" s="29" customFormat="1" ht="12.75" customHeight="1">
      <c r="A226" s="122" t="s">
        <v>41</v>
      </c>
      <c r="B226" s="16" t="s">
        <v>277</v>
      </c>
      <c r="C226" s="117" t="s">
        <v>275</v>
      </c>
      <c r="D226" s="155">
        <v>0.45</v>
      </c>
      <c r="E226" s="164"/>
      <c r="F226" s="157">
        <v>70</v>
      </c>
      <c r="G226" s="158"/>
      <c r="H226" s="123">
        <f t="shared" si="0"/>
        <v>31.5</v>
      </c>
      <c r="I226" s="121"/>
      <c r="J226" s="16"/>
      <c r="K226" s="16"/>
      <c r="L226" s="16"/>
    </row>
    <row r="227" spans="1:12" s="29" customFormat="1" ht="12.75" customHeight="1">
      <c r="A227" s="122" t="s">
        <v>42</v>
      </c>
      <c r="B227" s="124" t="s">
        <v>278</v>
      </c>
      <c r="C227" s="117" t="s">
        <v>275</v>
      </c>
      <c r="D227" s="155">
        <v>0.45</v>
      </c>
      <c r="E227" s="164"/>
      <c r="F227" s="157">
        <v>70</v>
      </c>
      <c r="G227" s="158"/>
      <c r="H227" s="123">
        <f t="shared" si="0"/>
        <v>31.5</v>
      </c>
      <c r="I227" s="121"/>
      <c r="J227" s="16"/>
      <c r="K227" s="16"/>
      <c r="L227" s="16"/>
    </row>
    <row r="228" spans="1:12" s="29" customFormat="1" ht="12.75" customHeight="1">
      <c r="A228" s="122" t="s">
        <v>279</v>
      </c>
      <c r="B228" s="124" t="s">
        <v>280</v>
      </c>
      <c r="C228" s="117" t="s">
        <v>281</v>
      </c>
      <c r="D228" s="159">
        <v>1</v>
      </c>
      <c r="E228" s="160"/>
      <c r="F228" s="157">
        <v>70</v>
      </c>
      <c r="G228" s="158"/>
      <c r="H228" s="123">
        <f t="shared" si="0"/>
        <v>70</v>
      </c>
      <c r="I228" s="121"/>
      <c r="J228" s="16"/>
      <c r="K228" s="16"/>
      <c r="L228" s="16"/>
    </row>
    <row r="229" spans="1:12" s="29" customFormat="1" ht="12.75" customHeight="1">
      <c r="A229" s="122" t="s">
        <v>282</v>
      </c>
      <c r="B229" s="124" t="s">
        <v>283</v>
      </c>
      <c r="C229" s="117" t="s">
        <v>180</v>
      </c>
      <c r="D229" s="165">
        <v>0.096</v>
      </c>
      <c r="E229" s="166"/>
      <c r="F229" s="157">
        <v>70</v>
      </c>
      <c r="G229" s="158"/>
      <c r="H229" s="123">
        <f t="shared" si="0"/>
        <v>6.72</v>
      </c>
      <c r="I229" s="125"/>
      <c r="J229" s="16"/>
      <c r="K229" s="16"/>
      <c r="L229" s="16"/>
    </row>
    <row r="230" spans="1:12" s="29" customFormat="1" ht="12.75" customHeight="1">
      <c r="A230" s="122" t="s">
        <v>284</v>
      </c>
      <c r="B230" s="124" t="s">
        <v>285</v>
      </c>
      <c r="C230" s="117" t="s">
        <v>180</v>
      </c>
      <c r="D230" s="165">
        <v>0.144</v>
      </c>
      <c r="E230" s="166"/>
      <c r="F230" s="157">
        <v>70</v>
      </c>
      <c r="G230" s="158"/>
      <c r="H230" s="123">
        <f t="shared" si="0"/>
        <v>10.08</v>
      </c>
      <c r="I230" s="126"/>
      <c r="J230" s="16"/>
      <c r="K230" s="16"/>
      <c r="L230" s="16"/>
    </row>
    <row r="231" spans="1:12" s="29" customFormat="1" ht="12.75" customHeight="1">
      <c r="A231" s="122" t="s">
        <v>286</v>
      </c>
      <c r="B231" s="124" t="s">
        <v>287</v>
      </c>
      <c r="C231" s="117" t="s">
        <v>275</v>
      </c>
      <c r="D231" s="155">
        <v>0.45</v>
      </c>
      <c r="E231" s="164"/>
      <c r="F231" s="157">
        <v>70</v>
      </c>
      <c r="G231" s="158"/>
      <c r="H231" s="123">
        <f t="shared" si="0"/>
        <v>31.5</v>
      </c>
      <c r="I231" s="126"/>
      <c r="J231" s="16"/>
      <c r="K231" s="16"/>
      <c r="L231" s="16"/>
    </row>
    <row r="232" spans="1:12" s="29" customFormat="1" ht="12.75" customHeight="1">
      <c r="A232" s="122" t="s">
        <v>288</v>
      </c>
      <c r="B232" s="124" t="s">
        <v>289</v>
      </c>
      <c r="C232" s="117" t="s">
        <v>81</v>
      </c>
      <c r="D232" s="155"/>
      <c r="E232" s="164"/>
      <c r="F232" s="157"/>
      <c r="G232" s="158"/>
      <c r="H232" s="127">
        <v>1</v>
      </c>
      <c r="I232" s="126"/>
      <c r="J232" s="16"/>
      <c r="K232" s="16"/>
      <c r="L232" s="16"/>
    </row>
    <row r="233" spans="1:12" s="29" customFormat="1" ht="12.75" customHeight="1">
      <c r="A233" s="117">
        <v>2</v>
      </c>
      <c r="B233" s="118" t="s">
        <v>290</v>
      </c>
      <c r="C233" s="117"/>
      <c r="D233" s="165"/>
      <c r="E233" s="166"/>
      <c r="F233" s="157"/>
      <c r="G233" s="158"/>
      <c r="H233" s="123"/>
      <c r="I233" s="66" t="s">
        <v>112</v>
      </c>
      <c r="J233" s="66" t="s">
        <v>112</v>
      </c>
      <c r="K233" s="66" t="s">
        <v>112</v>
      </c>
      <c r="L233" s="66" t="s">
        <v>112</v>
      </c>
    </row>
    <row r="234" spans="1:12" s="29" customFormat="1" ht="12.75" customHeight="1">
      <c r="A234" s="128" t="s">
        <v>43</v>
      </c>
      <c r="B234" s="16" t="s">
        <v>276</v>
      </c>
      <c r="C234" s="117" t="s">
        <v>275</v>
      </c>
      <c r="D234" s="155">
        <v>0.04</v>
      </c>
      <c r="E234" s="164"/>
      <c r="F234" s="157">
        <v>30</v>
      </c>
      <c r="G234" s="158"/>
      <c r="H234" s="123">
        <f>D234*F234</f>
        <v>1.2</v>
      </c>
      <c r="I234" s="125"/>
      <c r="J234" s="16"/>
      <c r="K234" s="16"/>
      <c r="L234" s="16"/>
    </row>
    <row r="235" spans="1:12" s="29" customFormat="1" ht="12.75" customHeight="1">
      <c r="A235" s="128" t="s">
        <v>44</v>
      </c>
      <c r="B235" s="124" t="s">
        <v>291</v>
      </c>
      <c r="C235" s="117" t="s">
        <v>180</v>
      </c>
      <c r="D235" s="165">
        <v>0.096</v>
      </c>
      <c r="E235" s="166"/>
      <c r="F235" s="157">
        <v>30</v>
      </c>
      <c r="G235" s="158"/>
      <c r="H235" s="123">
        <f>D235*F235</f>
        <v>2.88</v>
      </c>
      <c r="I235" s="125"/>
      <c r="J235" s="16"/>
      <c r="K235" s="16"/>
      <c r="L235" s="16"/>
    </row>
    <row r="236" spans="1:12" s="29" customFormat="1" ht="12.75" customHeight="1">
      <c r="A236" s="129">
        <v>3</v>
      </c>
      <c r="B236" s="130" t="s">
        <v>292</v>
      </c>
      <c r="C236" s="126"/>
      <c r="D236" s="155"/>
      <c r="E236" s="164"/>
      <c r="F236" s="157"/>
      <c r="G236" s="158"/>
      <c r="H236" s="120"/>
      <c r="I236" s="66" t="s">
        <v>112</v>
      </c>
      <c r="J236" s="66" t="s">
        <v>112</v>
      </c>
      <c r="K236" s="66" t="s">
        <v>112</v>
      </c>
      <c r="L236" s="66" t="s">
        <v>112</v>
      </c>
    </row>
    <row r="237" spans="1:12" s="29" customFormat="1" ht="12.75" customHeight="1">
      <c r="A237" s="122" t="s">
        <v>47</v>
      </c>
      <c r="B237" s="124" t="s">
        <v>291</v>
      </c>
      <c r="C237" s="117" t="s">
        <v>180</v>
      </c>
      <c r="D237" s="165">
        <v>0.096</v>
      </c>
      <c r="E237" s="166"/>
      <c r="F237" s="157">
        <v>30</v>
      </c>
      <c r="G237" s="158"/>
      <c r="H237" s="123">
        <f>D237*F237</f>
        <v>2.88</v>
      </c>
      <c r="I237" s="125"/>
      <c r="J237" s="16"/>
      <c r="K237" s="16"/>
      <c r="L237" s="16"/>
    </row>
    <row r="238" spans="1:12" s="29" customFormat="1" ht="12.75" customHeight="1">
      <c r="A238" s="131">
        <v>4</v>
      </c>
      <c r="B238" s="132" t="s">
        <v>293</v>
      </c>
      <c r="C238" s="131"/>
      <c r="D238" s="155"/>
      <c r="E238" s="164"/>
      <c r="F238" s="157"/>
      <c r="G238" s="158"/>
      <c r="H238" s="120"/>
      <c r="I238" s="66" t="s">
        <v>112</v>
      </c>
      <c r="J238" s="66" t="s">
        <v>112</v>
      </c>
      <c r="K238" s="66" t="s">
        <v>112</v>
      </c>
      <c r="L238" s="66" t="s">
        <v>112</v>
      </c>
    </row>
    <row r="239" spans="1:12" s="29" customFormat="1" ht="12.75" customHeight="1">
      <c r="A239" s="122" t="s">
        <v>50</v>
      </c>
      <c r="B239" s="16" t="s">
        <v>274</v>
      </c>
      <c r="C239" s="117" t="s">
        <v>275</v>
      </c>
      <c r="D239" s="155">
        <v>0.09</v>
      </c>
      <c r="E239" s="164"/>
      <c r="F239" s="157">
        <v>180</v>
      </c>
      <c r="G239" s="158"/>
      <c r="H239" s="123">
        <f aca="true" t="shared" si="1" ref="H239:H246">D239*F239</f>
        <v>16.2</v>
      </c>
      <c r="I239" s="125"/>
      <c r="J239" s="16"/>
      <c r="K239" s="16"/>
      <c r="L239" s="16"/>
    </row>
    <row r="240" spans="1:12" s="29" customFormat="1" ht="12.75" customHeight="1">
      <c r="A240" s="122" t="s">
        <v>51</v>
      </c>
      <c r="B240" s="16" t="s">
        <v>276</v>
      </c>
      <c r="C240" s="117" t="s">
        <v>275</v>
      </c>
      <c r="D240" s="155">
        <v>0.09</v>
      </c>
      <c r="E240" s="164"/>
      <c r="F240" s="157">
        <v>180</v>
      </c>
      <c r="G240" s="158"/>
      <c r="H240" s="123">
        <f t="shared" si="1"/>
        <v>16.2</v>
      </c>
      <c r="I240" s="125"/>
      <c r="J240" s="16"/>
      <c r="K240" s="16"/>
      <c r="L240" s="16"/>
    </row>
    <row r="241" spans="1:12" s="29" customFormat="1" ht="12.75" customHeight="1">
      <c r="A241" s="122" t="s">
        <v>52</v>
      </c>
      <c r="B241" s="16" t="s">
        <v>277</v>
      </c>
      <c r="C241" s="117" t="s">
        <v>275</v>
      </c>
      <c r="D241" s="155">
        <v>0.3</v>
      </c>
      <c r="E241" s="164"/>
      <c r="F241" s="157">
        <v>180</v>
      </c>
      <c r="G241" s="158"/>
      <c r="H241" s="123">
        <f t="shared" si="1"/>
        <v>54</v>
      </c>
      <c r="I241" s="125"/>
      <c r="J241" s="16"/>
      <c r="K241" s="16"/>
      <c r="L241" s="16"/>
    </row>
    <row r="242" spans="1:12" s="29" customFormat="1" ht="12.75" customHeight="1">
      <c r="A242" s="122" t="s">
        <v>53</v>
      </c>
      <c r="B242" s="124" t="s">
        <v>278</v>
      </c>
      <c r="C242" s="117" t="s">
        <v>275</v>
      </c>
      <c r="D242" s="155">
        <v>0.3</v>
      </c>
      <c r="E242" s="164"/>
      <c r="F242" s="157">
        <v>180</v>
      </c>
      <c r="G242" s="158"/>
      <c r="H242" s="123">
        <f t="shared" si="1"/>
        <v>54</v>
      </c>
      <c r="I242" s="125"/>
      <c r="J242" s="16"/>
      <c r="K242" s="16"/>
      <c r="L242" s="16"/>
    </row>
    <row r="243" spans="1:12" s="29" customFormat="1" ht="12.75" customHeight="1">
      <c r="A243" s="122" t="s">
        <v>294</v>
      </c>
      <c r="B243" s="124" t="s">
        <v>280</v>
      </c>
      <c r="C243" s="117" t="s">
        <v>281</v>
      </c>
      <c r="D243" s="159">
        <v>1</v>
      </c>
      <c r="E243" s="160"/>
      <c r="F243" s="157">
        <v>180</v>
      </c>
      <c r="G243" s="158"/>
      <c r="H243" s="123">
        <f t="shared" si="1"/>
        <v>180</v>
      </c>
      <c r="I243" s="125"/>
      <c r="J243" s="16"/>
      <c r="K243" s="16"/>
      <c r="L243" s="16"/>
    </row>
    <row r="244" spans="1:12" s="29" customFormat="1" ht="12.75" customHeight="1">
      <c r="A244" s="122" t="s">
        <v>295</v>
      </c>
      <c r="B244" s="124" t="s">
        <v>283</v>
      </c>
      <c r="C244" s="117" t="s">
        <v>180</v>
      </c>
      <c r="D244" s="165">
        <v>0.096</v>
      </c>
      <c r="E244" s="166"/>
      <c r="F244" s="157">
        <v>180</v>
      </c>
      <c r="G244" s="158"/>
      <c r="H244" s="123">
        <f t="shared" si="1"/>
        <v>17.28</v>
      </c>
      <c r="I244" s="125"/>
      <c r="J244" s="16"/>
      <c r="K244" s="16"/>
      <c r="L244" s="16"/>
    </row>
    <row r="245" spans="1:12" s="29" customFormat="1" ht="12.75" customHeight="1">
      <c r="A245" s="122" t="s">
        <v>296</v>
      </c>
      <c r="B245" s="133" t="s">
        <v>297</v>
      </c>
      <c r="C245" s="117" t="s">
        <v>180</v>
      </c>
      <c r="D245" s="165">
        <v>0.12</v>
      </c>
      <c r="E245" s="166"/>
      <c r="F245" s="157">
        <v>180</v>
      </c>
      <c r="G245" s="158"/>
      <c r="H245" s="123">
        <f t="shared" si="1"/>
        <v>21.599999999999998</v>
      </c>
      <c r="I245" s="125"/>
      <c r="J245" s="16"/>
      <c r="K245" s="16"/>
      <c r="L245" s="16"/>
    </row>
    <row r="246" spans="1:12" s="29" customFormat="1" ht="12.75" customHeight="1">
      <c r="A246" s="122" t="s">
        <v>298</v>
      </c>
      <c r="B246" s="133" t="s">
        <v>299</v>
      </c>
      <c r="C246" s="117" t="s">
        <v>275</v>
      </c>
      <c r="D246" s="155">
        <v>0.3</v>
      </c>
      <c r="E246" s="164"/>
      <c r="F246" s="157">
        <v>180</v>
      </c>
      <c r="G246" s="158"/>
      <c r="H246" s="123">
        <f t="shared" si="1"/>
        <v>54</v>
      </c>
      <c r="I246" s="125"/>
      <c r="J246" s="16"/>
      <c r="K246" s="16"/>
      <c r="L246" s="16"/>
    </row>
    <row r="247" spans="1:12" s="29" customFormat="1" ht="12.75" customHeight="1">
      <c r="A247" s="122" t="s">
        <v>300</v>
      </c>
      <c r="B247" s="124" t="s">
        <v>289</v>
      </c>
      <c r="C247" s="117" t="s">
        <v>81</v>
      </c>
      <c r="D247" s="155"/>
      <c r="E247" s="164"/>
      <c r="F247" s="157"/>
      <c r="G247" s="158"/>
      <c r="H247" s="127">
        <v>1</v>
      </c>
      <c r="I247" s="125"/>
      <c r="J247" s="16"/>
      <c r="K247" s="16"/>
      <c r="L247" s="16"/>
    </row>
    <row r="248" spans="1:12" s="29" customFormat="1" ht="12.75" customHeight="1">
      <c r="A248" s="117">
        <v>5</v>
      </c>
      <c r="B248" s="132" t="s">
        <v>301</v>
      </c>
      <c r="C248" s="119"/>
      <c r="D248" s="155"/>
      <c r="E248" s="164"/>
      <c r="F248" s="157"/>
      <c r="G248" s="158"/>
      <c r="H248" s="120"/>
      <c r="I248" s="66" t="s">
        <v>112</v>
      </c>
      <c r="J248" s="66" t="s">
        <v>112</v>
      </c>
      <c r="K248" s="66" t="s">
        <v>112</v>
      </c>
      <c r="L248" s="66" t="s">
        <v>112</v>
      </c>
    </row>
    <row r="249" spans="1:12" s="29" customFormat="1" ht="12.75" customHeight="1">
      <c r="A249" s="129" t="s">
        <v>54</v>
      </c>
      <c r="B249" s="133" t="s">
        <v>302</v>
      </c>
      <c r="C249" s="117" t="s">
        <v>275</v>
      </c>
      <c r="D249" s="155">
        <v>0.2</v>
      </c>
      <c r="E249" s="164"/>
      <c r="F249" s="157">
        <v>5</v>
      </c>
      <c r="G249" s="158"/>
      <c r="H249" s="123">
        <f aca="true" t="shared" si="2" ref="H249:H256">D249*F249</f>
        <v>1</v>
      </c>
      <c r="I249" s="126"/>
      <c r="J249" s="16"/>
      <c r="K249" s="16"/>
      <c r="L249" s="16"/>
    </row>
    <row r="250" spans="1:12" s="29" customFormat="1" ht="12.75" customHeight="1">
      <c r="A250" s="129" t="s">
        <v>128</v>
      </c>
      <c r="B250" s="124" t="s">
        <v>277</v>
      </c>
      <c r="C250" s="117" t="s">
        <v>275</v>
      </c>
      <c r="D250" s="155">
        <v>0.3</v>
      </c>
      <c r="E250" s="164"/>
      <c r="F250" s="157">
        <v>5</v>
      </c>
      <c r="G250" s="158"/>
      <c r="H250" s="123">
        <f t="shared" si="2"/>
        <v>1.5</v>
      </c>
      <c r="I250" s="126"/>
      <c r="J250" s="16"/>
      <c r="K250" s="16"/>
      <c r="L250" s="16"/>
    </row>
    <row r="251" spans="1:12" s="29" customFormat="1" ht="12.75" customHeight="1">
      <c r="A251" s="129" t="s">
        <v>129</v>
      </c>
      <c r="B251" s="133" t="s">
        <v>303</v>
      </c>
      <c r="C251" s="117" t="s">
        <v>275</v>
      </c>
      <c r="D251" s="155">
        <v>0.2</v>
      </c>
      <c r="E251" s="164"/>
      <c r="F251" s="157">
        <v>5</v>
      </c>
      <c r="G251" s="158"/>
      <c r="H251" s="123">
        <f t="shared" si="2"/>
        <v>1</v>
      </c>
      <c r="I251" s="126"/>
      <c r="J251" s="16"/>
      <c r="K251" s="16"/>
      <c r="L251" s="16"/>
    </row>
    <row r="252" spans="1:12" s="29" customFormat="1" ht="12.75" customHeight="1">
      <c r="A252" s="129" t="s">
        <v>130</v>
      </c>
      <c r="B252" s="124" t="s">
        <v>304</v>
      </c>
      <c r="C252" s="117" t="s">
        <v>275</v>
      </c>
      <c r="D252" s="155">
        <v>0.3</v>
      </c>
      <c r="E252" s="164"/>
      <c r="F252" s="157">
        <v>5</v>
      </c>
      <c r="G252" s="158"/>
      <c r="H252" s="123">
        <f t="shared" si="2"/>
        <v>1.5</v>
      </c>
      <c r="I252" s="126"/>
      <c r="J252" s="16"/>
      <c r="K252" s="16"/>
      <c r="L252" s="16"/>
    </row>
    <row r="253" spans="1:12" s="29" customFormat="1" ht="12.75" customHeight="1">
      <c r="A253" s="129" t="s">
        <v>305</v>
      </c>
      <c r="B253" s="124" t="s">
        <v>280</v>
      </c>
      <c r="C253" s="117" t="s">
        <v>281</v>
      </c>
      <c r="D253" s="159">
        <v>1</v>
      </c>
      <c r="E253" s="160"/>
      <c r="F253" s="157">
        <v>5</v>
      </c>
      <c r="G253" s="158"/>
      <c r="H253" s="123">
        <f t="shared" si="2"/>
        <v>5</v>
      </c>
      <c r="I253" s="126"/>
      <c r="J253" s="16"/>
      <c r="K253" s="16"/>
      <c r="L253" s="16"/>
    </row>
    <row r="254" spans="1:12" s="29" customFormat="1" ht="12.75" customHeight="1">
      <c r="A254" s="129" t="s">
        <v>306</v>
      </c>
      <c r="B254" s="133" t="s">
        <v>339</v>
      </c>
      <c r="C254" s="117" t="s">
        <v>275</v>
      </c>
      <c r="D254" s="155">
        <v>0.2</v>
      </c>
      <c r="E254" s="164"/>
      <c r="F254" s="157">
        <v>5</v>
      </c>
      <c r="G254" s="158"/>
      <c r="H254" s="123">
        <f t="shared" si="2"/>
        <v>1</v>
      </c>
      <c r="I254" s="126"/>
      <c r="J254" s="16"/>
      <c r="K254" s="16"/>
      <c r="L254" s="16"/>
    </row>
    <row r="255" spans="1:12" s="29" customFormat="1" ht="12.75" customHeight="1">
      <c r="A255" s="129" t="s">
        <v>307</v>
      </c>
      <c r="B255" s="133" t="s">
        <v>308</v>
      </c>
      <c r="C255" s="117" t="s">
        <v>275</v>
      </c>
      <c r="D255" s="155">
        <v>0.05</v>
      </c>
      <c r="E255" s="164"/>
      <c r="F255" s="157">
        <v>5</v>
      </c>
      <c r="G255" s="158"/>
      <c r="H255" s="123">
        <f t="shared" si="2"/>
        <v>0.25</v>
      </c>
      <c r="I255" s="126"/>
      <c r="J255" s="16"/>
      <c r="K255" s="16"/>
      <c r="L255" s="16"/>
    </row>
    <row r="256" spans="1:12" s="29" customFormat="1" ht="12.75" customHeight="1">
      <c r="A256" s="129" t="s">
        <v>309</v>
      </c>
      <c r="B256" s="133" t="s">
        <v>310</v>
      </c>
      <c r="C256" s="117" t="s">
        <v>275</v>
      </c>
      <c r="D256" s="155">
        <v>0.3</v>
      </c>
      <c r="E256" s="164"/>
      <c r="F256" s="157">
        <v>5</v>
      </c>
      <c r="G256" s="158"/>
      <c r="H256" s="123">
        <f t="shared" si="2"/>
        <v>1.5</v>
      </c>
      <c r="I256" s="121"/>
      <c r="J256" s="16"/>
      <c r="K256" s="16"/>
      <c r="L256" s="16"/>
    </row>
    <row r="257" spans="1:12" s="29" customFormat="1" ht="12.75" customHeight="1">
      <c r="A257" s="117">
        <v>6</v>
      </c>
      <c r="B257" s="132" t="s">
        <v>311</v>
      </c>
      <c r="C257" s="119"/>
      <c r="D257" s="155"/>
      <c r="E257" s="164"/>
      <c r="F257" s="157"/>
      <c r="G257" s="158"/>
      <c r="H257" s="120"/>
      <c r="I257" s="66" t="s">
        <v>112</v>
      </c>
      <c r="J257" s="66" t="s">
        <v>112</v>
      </c>
      <c r="K257" s="66" t="s">
        <v>112</v>
      </c>
      <c r="L257" s="66" t="s">
        <v>112</v>
      </c>
    </row>
    <row r="258" spans="1:12" s="29" customFormat="1" ht="12.75" customHeight="1">
      <c r="A258" s="129" t="s">
        <v>56</v>
      </c>
      <c r="B258" s="16" t="s">
        <v>274</v>
      </c>
      <c r="C258" s="117" t="s">
        <v>275</v>
      </c>
      <c r="D258" s="155">
        <v>0.04</v>
      </c>
      <c r="E258" s="164"/>
      <c r="F258" s="157">
        <v>4</v>
      </c>
      <c r="G258" s="158"/>
      <c r="H258" s="123">
        <f aca="true" t="shared" si="3" ref="H258:H264">D258*F258</f>
        <v>0.16</v>
      </c>
      <c r="I258" s="125"/>
      <c r="J258" s="16"/>
      <c r="K258" s="16"/>
      <c r="L258" s="16"/>
    </row>
    <row r="259" spans="1:12" s="29" customFormat="1" ht="12.75" customHeight="1">
      <c r="A259" s="129" t="s">
        <v>57</v>
      </c>
      <c r="B259" s="16" t="s">
        <v>276</v>
      </c>
      <c r="C259" s="117" t="s">
        <v>275</v>
      </c>
      <c r="D259" s="155">
        <v>0.04</v>
      </c>
      <c r="E259" s="164"/>
      <c r="F259" s="157">
        <v>4</v>
      </c>
      <c r="G259" s="158"/>
      <c r="H259" s="123">
        <f t="shared" si="3"/>
        <v>0.16</v>
      </c>
      <c r="I259" s="125"/>
      <c r="J259" s="16"/>
      <c r="K259" s="16"/>
      <c r="L259" s="16"/>
    </row>
    <row r="260" spans="1:12" s="29" customFormat="1" ht="12.75" customHeight="1">
      <c r="A260" s="129" t="s">
        <v>147</v>
      </c>
      <c r="B260" s="16" t="s">
        <v>277</v>
      </c>
      <c r="C260" s="117" t="s">
        <v>275</v>
      </c>
      <c r="D260" s="155">
        <v>0.16</v>
      </c>
      <c r="E260" s="164"/>
      <c r="F260" s="157">
        <v>4</v>
      </c>
      <c r="G260" s="158"/>
      <c r="H260" s="123">
        <f t="shared" si="3"/>
        <v>0.64</v>
      </c>
      <c r="I260" s="125"/>
      <c r="J260" s="16"/>
      <c r="K260" s="16"/>
      <c r="L260" s="16"/>
    </row>
    <row r="261" spans="1:12" s="29" customFormat="1" ht="12.75" customHeight="1">
      <c r="A261" s="129" t="s">
        <v>312</v>
      </c>
      <c r="B261" s="124" t="s">
        <v>278</v>
      </c>
      <c r="C261" s="117" t="s">
        <v>275</v>
      </c>
      <c r="D261" s="155">
        <v>0.16</v>
      </c>
      <c r="E261" s="164"/>
      <c r="F261" s="157">
        <v>4</v>
      </c>
      <c r="G261" s="158"/>
      <c r="H261" s="123">
        <f t="shared" si="3"/>
        <v>0.64</v>
      </c>
      <c r="I261" s="125"/>
      <c r="J261" s="16"/>
      <c r="K261" s="16"/>
      <c r="L261" s="16"/>
    </row>
    <row r="262" spans="1:12" s="29" customFormat="1" ht="12.75" customHeight="1">
      <c r="A262" s="129" t="s">
        <v>313</v>
      </c>
      <c r="B262" s="124" t="s">
        <v>280</v>
      </c>
      <c r="C262" s="117" t="s">
        <v>281</v>
      </c>
      <c r="D262" s="159">
        <v>1</v>
      </c>
      <c r="E262" s="160"/>
      <c r="F262" s="157">
        <v>4</v>
      </c>
      <c r="G262" s="158"/>
      <c r="H262" s="123">
        <f t="shared" si="3"/>
        <v>4</v>
      </c>
      <c r="I262" s="125"/>
      <c r="J262" s="16"/>
      <c r="K262" s="16"/>
      <c r="L262" s="16"/>
    </row>
    <row r="263" spans="1:12" s="29" customFormat="1" ht="12.75" customHeight="1">
      <c r="A263" s="129" t="s">
        <v>314</v>
      </c>
      <c r="B263" s="124" t="s">
        <v>291</v>
      </c>
      <c r="C263" s="117" t="s">
        <v>180</v>
      </c>
      <c r="D263" s="165">
        <v>0.096</v>
      </c>
      <c r="E263" s="166"/>
      <c r="F263" s="157">
        <v>4</v>
      </c>
      <c r="G263" s="158"/>
      <c r="H263" s="123">
        <f t="shared" si="3"/>
        <v>0.384</v>
      </c>
      <c r="I263" s="126"/>
      <c r="J263" s="16"/>
      <c r="K263" s="16"/>
      <c r="L263" s="16"/>
    </row>
    <row r="264" spans="1:12" s="29" customFormat="1" ht="12.75" customHeight="1">
      <c r="A264" s="129" t="s">
        <v>315</v>
      </c>
      <c r="B264" s="133" t="s">
        <v>316</v>
      </c>
      <c r="C264" s="117" t="s">
        <v>275</v>
      </c>
      <c r="D264" s="155">
        <v>0.16</v>
      </c>
      <c r="E264" s="164"/>
      <c r="F264" s="157">
        <v>4</v>
      </c>
      <c r="G264" s="158"/>
      <c r="H264" s="123">
        <f t="shared" si="3"/>
        <v>0.64</v>
      </c>
      <c r="I264" s="126"/>
      <c r="J264" s="16"/>
      <c r="K264" s="16"/>
      <c r="L264" s="16"/>
    </row>
    <row r="265" spans="1:12" s="29" customFormat="1" ht="12.75" customHeight="1">
      <c r="A265" s="117">
        <v>7</v>
      </c>
      <c r="B265" s="132" t="s">
        <v>317</v>
      </c>
      <c r="C265" s="119"/>
      <c r="D265" s="155"/>
      <c r="E265" s="164"/>
      <c r="F265" s="157"/>
      <c r="G265" s="158"/>
      <c r="H265" s="120"/>
      <c r="I265" s="66" t="s">
        <v>112</v>
      </c>
      <c r="J265" s="66" t="s">
        <v>112</v>
      </c>
      <c r="K265" s="66" t="s">
        <v>112</v>
      </c>
      <c r="L265" s="66" t="s">
        <v>112</v>
      </c>
    </row>
    <row r="266" spans="1:12" s="29" customFormat="1" ht="12.75" customHeight="1">
      <c r="A266" s="129" t="s">
        <v>55</v>
      </c>
      <c r="B266" s="133" t="s">
        <v>318</v>
      </c>
      <c r="C266" s="117" t="s">
        <v>281</v>
      </c>
      <c r="D266" s="159">
        <v>1</v>
      </c>
      <c r="E266" s="160"/>
      <c r="F266" s="157">
        <v>20</v>
      </c>
      <c r="G266" s="158"/>
      <c r="H266" s="123">
        <f aca="true" t="shared" si="4" ref="H266:H273">D266*F266</f>
        <v>20</v>
      </c>
      <c r="I266" s="126"/>
      <c r="J266" s="16"/>
      <c r="K266" s="16"/>
      <c r="L266" s="16"/>
    </row>
    <row r="267" spans="1:12" s="29" customFormat="1" ht="12.75" customHeight="1">
      <c r="A267" s="129" t="s">
        <v>123</v>
      </c>
      <c r="B267" s="124" t="s">
        <v>277</v>
      </c>
      <c r="C267" s="117" t="s">
        <v>275</v>
      </c>
      <c r="D267" s="155">
        <v>0.16</v>
      </c>
      <c r="E267" s="164"/>
      <c r="F267" s="157">
        <v>20</v>
      </c>
      <c r="G267" s="158"/>
      <c r="H267" s="123">
        <f t="shared" si="4"/>
        <v>3.2</v>
      </c>
      <c r="I267" s="126"/>
      <c r="J267" s="16"/>
      <c r="K267" s="16"/>
      <c r="L267" s="16"/>
    </row>
    <row r="268" spans="1:12" s="29" customFormat="1" ht="12.75" customHeight="1">
      <c r="A268" s="129" t="s">
        <v>148</v>
      </c>
      <c r="B268" s="133" t="s">
        <v>303</v>
      </c>
      <c r="C268" s="117" t="s">
        <v>275</v>
      </c>
      <c r="D268" s="155">
        <v>0.05</v>
      </c>
      <c r="E268" s="164"/>
      <c r="F268" s="157">
        <v>20</v>
      </c>
      <c r="G268" s="158"/>
      <c r="H268" s="123">
        <f t="shared" si="4"/>
        <v>1</v>
      </c>
      <c r="I268" s="126"/>
      <c r="J268" s="16"/>
      <c r="K268" s="16"/>
      <c r="L268" s="16"/>
    </row>
    <row r="269" spans="1:12" s="29" customFormat="1" ht="12.75" customHeight="1">
      <c r="A269" s="129" t="s">
        <v>319</v>
      </c>
      <c r="B269" s="133" t="s">
        <v>278</v>
      </c>
      <c r="C269" s="117" t="s">
        <v>275</v>
      </c>
      <c r="D269" s="155">
        <v>0.16</v>
      </c>
      <c r="E269" s="164"/>
      <c r="F269" s="157">
        <v>20</v>
      </c>
      <c r="G269" s="158"/>
      <c r="H269" s="123">
        <f t="shared" si="4"/>
        <v>3.2</v>
      </c>
      <c r="I269" s="126"/>
      <c r="J269" s="16"/>
      <c r="K269" s="16"/>
      <c r="L269" s="16"/>
    </row>
    <row r="270" spans="1:12" s="29" customFormat="1" ht="12.75" customHeight="1">
      <c r="A270" s="129" t="s">
        <v>320</v>
      </c>
      <c r="B270" s="124" t="s">
        <v>280</v>
      </c>
      <c r="C270" s="117" t="s">
        <v>281</v>
      </c>
      <c r="D270" s="159">
        <v>1</v>
      </c>
      <c r="E270" s="160"/>
      <c r="F270" s="157">
        <v>20</v>
      </c>
      <c r="G270" s="158"/>
      <c r="H270" s="123">
        <f t="shared" si="4"/>
        <v>20</v>
      </c>
      <c r="I270" s="126"/>
      <c r="J270" s="16"/>
      <c r="K270" s="16"/>
      <c r="L270" s="16"/>
    </row>
    <row r="271" spans="1:12" s="29" customFormat="1" ht="12.75" customHeight="1">
      <c r="A271" s="129" t="s">
        <v>321</v>
      </c>
      <c r="B271" s="133" t="s">
        <v>322</v>
      </c>
      <c r="C271" s="117" t="s">
        <v>281</v>
      </c>
      <c r="D271" s="159">
        <v>1</v>
      </c>
      <c r="E271" s="160"/>
      <c r="F271" s="157">
        <v>20</v>
      </c>
      <c r="G271" s="158"/>
      <c r="H271" s="123">
        <f t="shared" si="4"/>
        <v>20</v>
      </c>
      <c r="I271" s="126"/>
      <c r="J271" s="16"/>
      <c r="K271" s="16"/>
      <c r="L271" s="16"/>
    </row>
    <row r="272" spans="1:12" s="29" customFormat="1" ht="12.75" customHeight="1">
      <c r="A272" s="129" t="s">
        <v>323</v>
      </c>
      <c r="B272" s="133" t="s">
        <v>324</v>
      </c>
      <c r="C272" s="117" t="s">
        <v>275</v>
      </c>
      <c r="D272" s="155">
        <v>0.03</v>
      </c>
      <c r="E272" s="164"/>
      <c r="F272" s="157">
        <v>20</v>
      </c>
      <c r="G272" s="158"/>
      <c r="H272" s="123">
        <f t="shared" si="4"/>
        <v>0.6</v>
      </c>
      <c r="I272" s="126"/>
      <c r="J272" s="16"/>
      <c r="K272" s="16"/>
      <c r="L272" s="16"/>
    </row>
    <row r="273" spans="1:12" s="29" customFormat="1" ht="12.75" customHeight="1">
      <c r="A273" s="129" t="s">
        <v>325</v>
      </c>
      <c r="B273" s="133" t="s">
        <v>316</v>
      </c>
      <c r="C273" s="117" t="s">
        <v>275</v>
      </c>
      <c r="D273" s="155">
        <v>0.16</v>
      </c>
      <c r="E273" s="164"/>
      <c r="F273" s="157">
        <v>20</v>
      </c>
      <c r="G273" s="158"/>
      <c r="H273" s="123">
        <f t="shared" si="4"/>
        <v>3.2</v>
      </c>
      <c r="I273" s="119"/>
      <c r="J273" s="16"/>
      <c r="K273" s="16"/>
      <c r="L273" s="16"/>
    </row>
    <row r="274" spans="1:12" s="29" customFormat="1" ht="12.75" customHeight="1">
      <c r="A274" s="129">
        <v>8</v>
      </c>
      <c r="B274" s="132" t="s">
        <v>326</v>
      </c>
      <c r="C274" s="117"/>
      <c r="D274" s="155"/>
      <c r="E274" s="164"/>
      <c r="F274" s="157"/>
      <c r="G274" s="158"/>
      <c r="H274" s="134"/>
      <c r="I274" s="66" t="s">
        <v>112</v>
      </c>
      <c r="J274" s="66" t="s">
        <v>112</v>
      </c>
      <c r="K274" s="66" t="s">
        <v>112</v>
      </c>
      <c r="L274" s="66" t="s">
        <v>112</v>
      </c>
    </row>
    <row r="275" spans="1:12" s="29" customFormat="1" ht="12.75" customHeight="1">
      <c r="A275" s="129" t="s">
        <v>58</v>
      </c>
      <c r="B275" s="133" t="s">
        <v>327</v>
      </c>
      <c r="C275" s="135" t="s">
        <v>62</v>
      </c>
      <c r="D275" s="159">
        <v>1</v>
      </c>
      <c r="E275" s="160"/>
      <c r="F275" s="157">
        <v>10</v>
      </c>
      <c r="G275" s="158"/>
      <c r="H275" s="123">
        <f aca="true" t="shared" si="5" ref="H275:H280">D275*F275</f>
        <v>10</v>
      </c>
      <c r="I275" s="119"/>
      <c r="J275" s="16"/>
      <c r="K275" s="16"/>
      <c r="L275" s="16"/>
    </row>
    <row r="276" spans="1:12" s="29" customFormat="1" ht="12.75" customHeight="1">
      <c r="A276" s="129" t="s">
        <v>59</v>
      </c>
      <c r="B276" s="133" t="s">
        <v>328</v>
      </c>
      <c r="C276" s="117" t="s">
        <v>275</v>
      </c>
      <c r="D276" s="155">
        <v>0.07</v>
      </c>
      <c r="E276" s="164"/>
      <c r="F276" s="157">
        <v>10</v>
      </c>
      <c r="G276" s="158"/>
      <c r="H276" s="123">
        <f t="shared" si="5"/>
        <v>0.7000000000000001</v>
      </c>
      <c r="I276" s="119"/>
      <c r="J276" s="16"/>
      <c r="K276" s="16"/>
      <c r="L276" s="16"/>
    </row>
    <row r="277" spans="1:12" s="29" customFormat="1" ht="12.75" customHeight="1">
      <c r="A277" s="129" t="s">
        <v>149</v>
      </c>
      <c r="B277" s="133" t="s">
        <v>329</v>
      </c>
      <c r="C277" s="117" t="s">
        <v>275</v>
      </c>
      <c r="D277" s="155">
        <v>0.061</v>
      </c>
      <c r="E277" s="164"/>
      <c r="F277" s="157">
        <v>10</v>
      </c>
      <c r="G277" s="158"/>
      <c r="H277" s="123">
        <f t="shared" si="5"/>
        <v>0.61</v>
      </c>
      <c r="I277" s="119"/>
      <c r="J277" s="16"/>
      <c r="K277" s="16"/>
      <c r="L277" s="16"/>
    </row>
    <row r="278" spans="1:12" s="29" customFormat="1" ht="12.75" customHeight="1">
      <c r="A278" s="129" t="s">
        <v>330</v>
      </c>
      <c r="B278" s="133" t="s">
        <v>331</v>
      </c>
      <c r="C278" s="117" t="s">
        <v>275</v>
      </c>
      <c r="D278" s="155">
        <v>0.07</v>
      </c>
      <c r="E278" s="164"/>
      <c r="F278" s="157">
        <v>10</v>
      </c>
      <c r="G278" s="158"/>
      <c r="H278" s="123">
        <f t="shared" si="5"/>
        <v>0.7000000000000001</v>
      </c>
      <c r="I278" s="119"/>
      <c r="J278" s="16"/>
      <c r="K278" s="16"/>
      <c r="L278" s="16"/>
    </row>
    <row r="279" spans="1:12" s="29" customFormat="1" ht="12.75" customHeight="1">
      <c r="A279" s="129" t="s">
        <v>332</v>
      </c>
      <c r="B279" s="133" t="s">
        <v>333</v>
      </c>
      <c r="C279" s="117" t="s">
        <v>275</v>
      </c>
      <c r="D279" s="155">
        <v>0.07</v>
      </c>
      <c r="E279" s="156"/>
      <c r="F279" s="157">
        <v>10</v>
      </c>
      <c r="G279" s="158"/>
      <c r="H279" s="123">
        <f t="shared" si="5"/>
        <v>0.7000000000000001</v>
      </c>
      <c r="I279" s="119"/>
      <c r="J279" s="16"/>
      <c r="K279" s="16"/>
      <c r="L279" s="16"/>
    </row>
    <row r="280" spans="1:12" s="29" customFormat="1" ht="12.75" customHeight="1">
      <c r="A280" s="129" t="s">
        <v>334</v>
      </c>
      <c r="B280" s="133" t="s">
        <v>335</v>
      </c>
      <c r="C280" s="135" t="s">
        <v>62</v>
      </c>
      <c r="D280" s="159">
        <v>1</v>
      </c>
      <c r="E280" s="160"/>
      <c r="F280" s="157">
        <v>10</v>
      </c>
      <c r="G280" s="158"/>
      <c r="H280" s="123">
        <f t="shared" si="5"/>
        <v>10</v>
      </c>
      <c r="I280" s="119"/>
      <c r="J280" s="16"/>
      <c r="K280" s="16"/>
      <c r="L280" s="16"/>
    </row>
    <row r="281" spans="1:12" s="29" customFormat="1" ht="12.75" customHeight="1">
      <c r="A281" s="136" t="s">
        <v>228</v>
      </c>
      <c r="B281" s="161" t="s">
        <v>336</v>
      </c>
      <c r="C281" s="162"/>
      <c r="D281" s="162"/>
      <c r="E281" s="162"/>
      <c r="F281" s="162"/>
      <c r="G281" s="162"/>
      <c r="H281" s="163"/>
      <c r="I281" s="150" t="s">
        <v>350</v>
      </c>
      <c r="J281" s="150" t="s">
        <v>350</v>
      </c>
      <c r="K281" s="150" t="s">
        <v>350</v>
      </c>
      <c r="L281" s="150" t="s">
        <v>350</v>
      </c>
    </row>
    <row r="282" spans="1:12" s="29" customFormat="1" ht="12.75" customHeight="1">
      <c r="A282" s="137">
        <v>1</v>
      </c>
      <c r="B282" s="138" t="s">
        <v>337</v>
      </c>
      <c r="C282" s="139" t="s">
        <v>81</v>
      </c>
      <c r="D282" s="151"/>
      <c r="E282" s="152"/>
      <c r="F282" s="153"/>
      <c r="G282" s="154"/>
      <c r="H282" s="140">
        <v>14</v>
      </c>
      <c r="I282" s="126"/>
      <c r="J282" s="16"/>
      <c r="K282" s="16"/>
      <c r="L282" s="16"/>
    </row>
    <row r="283" spans="1:12" s="29" customFormat="1" ht="12.75">
      <c r="A283" s="137">
        <v>2</v>
      </c>
      <c r="B283" s="138" t="s">
        <v>338</v>
      </c>
      <c r="C283" s="139" t="s">
        <v>81</v>
      </c>
      <c r="D283" s="151"/>
      <c r="E283" s="152"/>
      <c r="F283" s="153"/>
      <c r="G283" s="154"/>
      <c r="H283" s="140">
        <v>5</v>
      </c>
      <c r="I283" s="47"/>
      <c r="J283" s="16"/>
      <c r="K283" s="16"/>
      <c r="L283" s="16"/>
    </row>
    <row r="284" spans="1:12" s="29" customFormat="1" ht="14.25">
      <c r="A284" s="229" t="s">
        <v>341</v>
      </c>
      <c r="B284" s="230"/>
      <c r="C284" s="230"/>
      <c r="D284" s="230"/>
      <c r="E284" s="230"/>
      <c r="F284" s="230"/>
      <c r="G284" s="230"/>
      <c r="H284" s="230"/>
      <c r="I284" s="230"/>
      <c r="J284" s="230"/>
      <c r="K284" s="231"/>
      <c r="L284" s="16"/>
    </row>
    <row r="285" spans="1:12" s="29" customFormat="1" ht="14.25">
      <c r="A285" s="229" t="s">
        <v>342</v>
      </c>
      <c r="B285" s="230"/>
      <c r="C285" s="230"/>
      <c r="D285" s="230"/>
      <c r="E285" s="230"/>
      <c r="F285" s="230"/>
      <c r="G285" s="230"/>
      <c r="H285" s="230"/>
      <c r="I285" s="230"/>
      <c r="J285" s="230"/>
      <c r="K285" s="231"/>
      <c r="L285" s="16"/>
    </row>
    <row r="286" spans="1:12" s="29" customFormat="1" ht="15" customHeight="1">
      <c r="A286" s="229" t="s">
        <v>343</v>
      </c>
      <c r="B286" s="230"/>
      <c r="C286" s="230"/>
      <c r="D286" s="230"/>
      <c r="E286" s="230"/>
      <c r="F286" s="230"/>
      <c r="G286" s="230"/>
      <c r="H286" s="230"/>
      <c r="I286" s="230"/>
      <c r="J286" s="230"/>
      <c r="K286" s="231"/>
      <c r="L286" s="16"/>
    </row>
    <row r="287" spans="1:12" s="29" customFormat="1" ht="18.75" customHeight="1">
      <c r="A287" s="229" t="s">
        <v>344</v>
      </c>
      <c r="B287" s="230"/>
      <c r="C287" s="230"/>
      <c r="D287" s="230"/>
      <c r="E287" s="230"/>
      <c r="F287" s="230"/>
      <c r="G287" s="230"/>
      <c r="H287" s="230"/>
      <c r="I287" s="230"/>
      <c r="J287" s="230"/>
      <c r="K287" s="231"/>
      <c r="L287" s="16"/>
    </row>
    <row r="288" spans="1:12" s="29" customFormat="1" ht="12.75" customHeight="1">
      <c r="A288" s="229" t="s">
        <v>345</v>
      </c>
      <c r="B288" s="230"/>
      <c r="C288" s="230"/>
      <c r="D288" s="230"/>
      <c r="E288" s="230"/>
      <c r="F288" s="230"/>
      <c r="G288" s="230"/>
      <c r="H288" s="230"/>
      <c r="I288" s="230"/>
      <c r="J288" s="230"/>
      <c r="K288" s="231"/>
      <c r="L288" s="16"/>
    </row>
    <row r="289" spans="1:12" s="29" customFormat="1" ht="12.75" customHeight="1">
      <c r="A289" s="42"/>
      <c r="B289" s="18"/>
      <c r="C289" s="43"/>
      <c r="D289" s="44"/>
      <c r="E289" s="44"/>
      <c r="F289" s="55"/>
      <c r="G289" s="55"/>
      <c r="H289" s="55"/>
      <c r="I289" s="18"/>
      <c r="J289" s="18"/>
      <c r="K289" s="18"/>
      <c r="L289" s="18"/>
    </row>
    <row r="290" spans="1:12" s="22" customFormat="1" ht="15.75">
      <c r="A290" s="42"/>
      <c r="B290" s="62" t="s">
        <v>38</v>
      </c>
      <c r="C290" s="63"/>
      <c r="D290" s="64"/>
      <c r="E290" s="64"/>
      <c r="F290" s="65"/>
      <c r="G290" s="65"/>
      <c r="H290" s="65"/>
      <c r="I290" s="18"/>
      <c r="J290" s="18"/>
      <c r="K290" s="18"/>
      <c r="L290" s="18"/>
    </row>
    <row r="291" spans="1:12" s="22" customFormat="1" ht="12.75">
      <c r="A291" s="42"/>
      <c r="B291" s="240" t="s">
        <v>107</v>
      </c>
      <c r="C291" s="240"/>
      <c r="D291" s="240"/>
      <c r="E291" s="240"/>
      <c r="F291" s="240"/>
      <c r="G291" s="240"/>
      <c r="H291" s="240"/>
      <c r="I291" s="18"/>
      <c r="J291" s="18"/>
      <c r="K291" s="18"/>
      <c r="L291" s="18"/>
    </row>
    <row r="292" spans="1:12" s="22" customFormat="1" ht="21" customHeight="1">
      <c r="A292" s="42"/>
      <c r="B292" s="240"/>
      <c r="C292" s="240"/>
      <c r="D292" s="240"/>
      <c r="E292" s="240"/>
      <c r="F292" s="240"/>
      <c r="G292" s="240"/>
      <c r="H292" s="240"/>
      <c r="I292" s="18"/>
      <c r="J292" s="18"/>
      <c r="K292" s="18"/>
      <c r="L292" s="18"/>
    </row>
    <row r="293" spans="1:12" ht="15.75">
      <c r="A293" s="42"/>
      <c r="B293" s="226" t="s">
        <v>346</v>
      </c>
      <c r="C293" s="226"/>
      <c r="D293" s="226"/>
      <c r="E293" s="226"/>
      <c r="F293" s="226"/>
      <c r="G293" s="226"/>
      <c r="H293" s="226"/>
      <c r="I293" s="18"/>
      <c r="J293" s="18"/>
      <c r="K293" s="18"/>
      <c r="L293" s="18"/>
    </row>
    <row r="294" spans="1:12" ht="12.75">
      <c r="A294" s="42"/>
      <c r="B294" s="226" t="s">
        <v>347</v>
      </c>
      <c r="C294" s="226"/>
      <c r="D294" s="226"/>
      <c r="E294" s="226"/>
      <c r="F294" s="226"/>
      <c r="G294" s="226"/>
      <c r="H294" s="226"/>
      <c r="I294" s="18"/>
      <c r="J294" s="18"/>
      <c r="K294" s="18"/>
      <c r="L294" s="18"/>
    </row>
    <row r="295" spans="1:12" ht="17.25" customHeight="1">
      <c r="A295" s="144"/>
      <c r="B295" s="226"/>
      <c r="C295" s="226"/>
      <c r="D295" s="226"/>
      <c r="E295" s="226"/>
      <c r="F295" s="226"/>
      <c r="G295" s="226"/>
      <c r="H295" s="226"/>
      <c r="I295" s="22"/>
      <c r="J295" s="22"/>
      <c r="K295" s="22"/>
      <c r="L295" s="22"/>
    </row>
    <row r="296" spans="1:12" ht="15.75">
      <c r="A296" s="144"/>
      <c r="B296" s="145"/>
      <c r="C296" s="148"/>
      <c r="D296" s="145"/>
      <c r="E296" s="146"/>
      <c r="F296" s="147"/>
      <c r="G296" s="147"/>
      <c r="H296" s="147"/>
      <c r="I296" s="22"/>
      <c r="J296" s="22"/>
      <c r="K296" s="22"/>
      <c r="L296" s="22"/>
    </row>
    <row r="297" spans="1:12" ht="15.75">
      <c r="A297" s="144"/>
      <c r="B297" s="149"/>
      <c r="C297" s="148"/>
      <c r="D297" s="146"/>
      <c r="E297" s="146"/>
      <c r="F297" s="147"/>
      <c r="G297" s="147"/>
      <c r="H297" s="147"/>
      <c r="I297" s="22"/>
      <c r="J297" s="22"/>
      <c r="K297" s="22"/>
      <c r="L297" s="22"/>
    </row>
  </sheetData>
  <sheetProtection/>
  <mergeCells count="381">
    <mergeCell ref="A288:K288"/>
    <mergeCell ref="B293:H293"/>
    <mergeCell ref="F75:G75"/>
    <mergeCell ref="A84:A85"/>
    <mergeCell ref="B291:H292"/>
    <mergeCell ref="F85:G85"/>
    <mergeCell ref="D70:E70"/>
    <mergeCell ref="F70:G70"/>
    <mergeCell ref="F74:G74"/>
    <mergeCell ref="D75:E75"/>
    <mergeCell ref="D79:E79"/>
    <mergeCell ref="F79:G79"/>
    <mergeCell ref="F77:G77"/>
    <mergeCell ref="F71:G71"/>
    <mergeCell ref="A2:L2"/>
    <mergeCell ref="K1:L1"/>
    <mergeCell ref="A284:K284"/>
    <mergeCell ref="A285:K285"/>
    <mergeCell ref="A286:K286"/>
    <mergeCell ref="A287:K287"/>
    <mergeCell ref="D77:E77"/>
    <mergeCell ref="D76:E76"/>
    <mergeCell ref="F76:G76"/>
    <mergeCell ref="A6:H6"/>
    <mergeCell ref="F69:G69"/>
    <mergeCell ref="D73:E73"/>
    <mergeCell ref="D66:E66"/>
    <mergeCell ref="F66:G66"/>
    <mergeCell ref="F73:G73"/>
    <mergeCell ref="B294:H295"/>
    <mergeCell ref="D78:E78"/>
    <mergeCell ref="F78:G78"/>
    <mergeCell ref="D74:E74"/>
    <mergeCell ref="F83:G83"/>
    <mergeCell ref="D64:E64"/>
    <mergeCell ref="F64:G64"/>
    <mergeCell ref="D72:E72"/>
    <mergeCell ref="F72:G72"/>
    <mergeCell ref="D71:E71"/>
    <mergeCell ref="D68:E68"/>
    <mergeCell ref="F68:G68"/>
    <mergeCell ref="D67:E67"/>
    <mergeCell ref="F67:G67"/>
    <mergeCell ref="D69:E69"/>
    <mergeCell ref="D62:E62"/>
    <mergeCell ref="F62:G62"/>
    <mergeCell ref="D63:E63"/>
    <mergeCell ref="F63:G63"/>
    <mergeCell ref="D61:E61"/>
    <mergeCell ref="F61:G61"/>
    <mergeCell ref="D59:E59"/>
    <mergeCell ref="F59:G59"/>
    <mergeCell ref="D60:E60"/>
    <mergeCell ref="F60:G60"/>
    <mergeCell ref="D57:E57"/>
    <mergeCell ref="F57:G57"/>
    <mergeCell ref="D58:E58"/>
    <mergeCell ref="F58:G58"/>
    <mergeCell ref="D56:E56"/>
    <mergeCell ref="F56:G56"/>
    <mergeCell ref="D55:E55"/>
    <mergeCell ref="F55:G55"/>
    <mergeCell ref="D50:E50"/>
    <mergeCell ref="F50:G50"/>
    <mergeCell ref="B54:H54"/>
    <mergeCell ref="D48:E48"/>
    <mergeCell ref="F48:G48"/>
    <mergeCell ref="D49:E49"/>
    <mergeCell ref="F49:G49"/>
    <mergeCell ref="D53:E53"/>
    <mergeCell ref="F53:G53"/>
    <mergeCell ref="D52:E52"/>
    <mergeCell ref="F52:G52"/>
    <mergeCell ref="D47:E47"/>
    <mergeCell ref="F47:G47"/>
    <mergeCell ref="D46:E46"/>
    <mergeCell ref="F46:G46"/>
    <mergeCell ref="D45:E45"/>
    <mergeCell ref="F45:G45"/>
    <mergeCell ref="D32:E32"/>
    <mergeCell ref="D37:E37"/>
    <mergeCell ref="F37:G37"/>
    <mergeCell ref="D36:E36"/>
    <mergeCell ref="F36:G36"/>
    <mergeCell ref="D35:E35"/>
    <mergeCell ref="F35:G35"/>
    <mergeCell ref="F39:G39"/>
    <mergeCell ref="D40:E40"/>
    <mergeCell ref="F40:G40"/>
    <mergeCell ref="D41:E41"/>
    <mergeCell ref="D44:E44"/>
    <mergeCell ref="F44:G44"/>
    <mergeCell ref="D43:E43"/>
    <mergeCell ref="F43:G43"/>
    <mergeCell ref="D42:E42"/>
    <mergeCell ref="F42:G42"/>
    <mergeCell ref="F21:G21"/>
    <mergeCell ref="D21:E21"/>
    <mergeCell ref="F20:G20"/>
    <mergeCell ref="D20:E20"/>
    <mergeCell ref="D29:E29"/>
    <mergeCell ref="F29:G29"/>
    <mergeCell ref="D28:E28"/>
    <mergeCell ref="F28:G28"/>
    <mergeCell ref="F22:G22"/>
    <mergeCell ref="D22:E22"/>
    <mergeCell ref="D17:E17"/>
    <mergeCell ref="F17:G17"/>
    <mergeCell ref="F13:G13"/>
    <mergeCell ref="F19:G19"/>
    <mergeCell ref="D19:E19"/>
    <mergeCell ref="D18:E18"/>
    <mergeCell ref="F18:G18"/>
    <mergeCell ref="D14:E14"/>
    <mergeCell ref="F14:G14"/>
    <mergeCell ref="D16:E16"/>
    <mergeCell ref="F16:G16"/>
    <mergeCell ref="I4:K4"/>
    <mergeCell ref="A4:A5"/>
    <mergeCell ref="B4:B5"/>
    <mergeCell ref="C4:C5"/>
    <mergeCell ref="D4:H5"/>
    <mergeCell ref="B9:H9"/>
    <mergeCell ref="A7:H7"/>
    <mergeCell ref="F8:G8"/>
    <mergeCell ref="D13:E13"/>
    <mergeCell ref="F11:G11"/>
    <mergeCell ref="D15:E15"/>
    <mergeCell ref="F15:G15"/>
    <mergeCell ref="D10:E10"/>
    <mergeCell ref="D12:E12"/>
    <mergeCell ref="F12:G12"/>
    <mergeCell ref="F82:G82"/>
    <mergeCell ref="D83:E83"/>
    <mergeCell ref="L4:L5"/>
    <mergeCell ref="B84:B85"/>
    <mergeCell ref="D81:E81"/>
    <mergeCell ref="F81:G81"/>
    <mergeCell ref="F10:G10"/>
    <mergeCell ref="D11:E11"/>
    <mergeCell ref="D26:E26"/>
    <mergeCell ref="D8:E8"/>
    <mergeCell ref="D88:E88"/>
    <mergeCell ref="F88:G88"/>
    <mergeCell ref="D89:E89"/>
    <mergeCell ref="F89:G89"/>
    <mergeCell ref="D80:E80"/>
    <mergeCell ref="F80:G80"/>
    <mergeCell ref="D84:E84"/>
    <mergeCell ref="F84:G84"/>
    <mergeCell ref="D85:E85"/>
    <mergeCell ref="D82:E82"/>
    <mergeCell ref="D94:E94"/>
    <mergeCell ref="F94:G94"/>
    <mergeCell ref="D95:E95"/>
    <mergeCell ref="F95:G95"/>
    <mergeCell ref="D90:E90"/>
    <mergeCell ref="F90:G90"/>
    <mergeCell ref="D92:E92"/>
    <mergeCell ref="F92:G92"/>
    <mergeCell ref="F91:G91"/>
    <mergeCell ref="D91:E91"/>
    <mergeCell ref="D96:E96"/>
    <mergeCell ref="F96:G96"/>
    <mergeCell ref="D97:E97"/>
    <mergeCell ref="F97:G97"/>
    <mergeCell ref="D98:E98"/>
    <mergeCell ref="F98:G98"/>
    <mergeCell ref="F102:G102"/>
    <mergeCell ref="D103:E103"/>
    <mergeCell ref="F103:G103"/>
    <mergeCell ref="D100:E100"/>
    <mergeCell ref="F100:G100"/>
    <mergeCell ref="D99:E99"/>
    <mergeCell ref="F99:G99"/>
    <mergeCell ref="D105:E105"/>
    <mergeCell ref="F105:G105"/>
    <mergeCell ref="D108:E108"/>
    <mergeCell ref="F108:G108"/>
    <mergeCell ref="D109:E109"/>
    <mergeCell ref="D101:E101"/>
    <mergeCell ref="F101:G101"/>
    <mergeCell ref="D104:E104"/>
    <mergeCell ref="F104:G104"/>
    <mergeCell ref="D102:E102"/>
    <mergeCell ref="D107:E107"/>
    <mergeCell ref="F107:G107"/>
    <mergeCell ref="F109:G109"/>
    <mergeCell ref="D115:E115"/>
    <mergeCell ref="F115:G115"/>
    <mergeCell ref="D106:E106"/>
    <mergeCell ref="F106:G106"/>
    <mergeCell ref="D112:E112"/>
    <mergeCell ref="F112:G112"/>
    <mergeCell ref="D110:E110"/>
    <mergeCell ref="F110:G110"/>
    <mergeCell ref="D111:E111"/>
    <mergeCell ref="F111:G111"/>
    <mergeCell ref="F113:G113"/>
    <mergeCell ref="D117:E117"/>
    <mergeCell ref="F117:G117"/>
    <mergeCell ref="D114:E114"/>
    <mergeCell ref="F114:G114"/>
    <mergeCell ref="D113:E113"/>
    <mergeCell ref="D120:E120"/>
    <mergeCell ref="F120:G120"/>
    <mergeCell ref="B118:H118"/>
    <mergeCell ref="D119:E119"/>
    <mergeCell ref="F119:G119"/>
    <mergeCell ref="D116:E116"/>
    <mergeCell ref="F116:G116"/>
    <mergeCell ref="D121:E121"/>
    <mergeCell ref="F121:G121"/>
    <mergeCell ref="D124:E124"/>
    <mergeCell ref="D125:E125"/>
    <mergeCell ref="F124:G124"/>
    <mergeCell ref="F125:G125"/>
    <mergeCell ref="D123:E123"/>
    <mergeCell ref="F123:G123"/>
    <mergeCell ref="D122:E122"/>
    <mergeCell ref="F122:G122"/>
    <mergeCell ref="F26:G26"/>
    <mergeCell ref="B86:H86"/>
    <mergeCell ref="B93:H93"/>
    <mergeCell ref="D25:E25"/>
    <mergeCell ref="F25:G25"/>
    <mergeCell ref="D65:E65"/>
    <mergeCell ref="F65:G65"/>
    <mergeCell ref="D27:E27"/>
    <mergeCell ref="D87:E87"/>
    <mergeCell ref="F87:G87"/>
    <mergeCell ref="D24:E24"/>
    <mergeCell ref="F24:G24"/>
    <mergeCell ref="D51:E51"/>
    <mergeCell ref="F51:G51"/>
    <mergeCell ref="D38:E38"/>
    <mergeCell ref="F38:G38"/>
    <mergeCell ref="D39:E39"/>
    <mergeCell ref="F31:G31"/>
    <mergeCell ref="F33:G33"/>
    <mergeCell ref="F32:G32"/>
    <mergeCell ref="D23:E23"/>
    <mergeCell ref="F23:G23"/>
    <mergeCell ref="D34:E34"/>
    <mergeCell ref="F34:G34"/>
    <mergeCell ref="D33:E33"/>
    <mergeCell ref="F41:G41"/>
    <mergeCell ref="F27:G27"/>
    <mergeCell ref="D31:E31"/>
    <mergeCell ref="D30:E30"/>
    <mergeCell ref="F30:G30"/>
    <mergeCell ref="B127:H127"/>
    <mergeCell ref="B184:H184"/>
    <mergeCell ref="B190:H190"/>
    <mergeCell ref="B195:H195"/>
    <mergeCell ref="B208:H208"/>
    <mergeCell ref="B216:H216"/>
    <mergeCell ref="D221:E221"/>
    <mergeCell ref="F221:G221"/>
    <mergeCell ref="B222:H222"/>
    <mergeCell ref="D223:E223"/>
    <mergeCell ref="F223:G22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8:E228"/>
    <mergeCell ref="F228:G228"/>
    <mergeCell ref="D229:E229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37:E237"/>
    <mergeCell ref="F237:G237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56:E256"/>
    <mergeCell ref="F256:G256"/>
    <mergeCell ref="D257:E257"/>
    <mergeCell ref="F257:G257"/>
    <mergeCell ref="D258:E258"/>
    <mergeCell ref="F258:G258"/>
    <mergeCell ref="D259:E259"/>
    <mergeCell ref="F259:G259"/>
    <mergeCell ref="D260:E260"/>
    <mergeCell ref="F260:G260"/>
    <mergeCell ref="D261:E261"/>
    <mergeCell ref="F261:G261"/>
    <mergeCell ref="D262:E262"/>
    <mergeCell ref="F262:G262"/>
    <mergeCell ref="D263:E263"/>
    <mergeCell ref="F263:G263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69:E269"/>
    <mergeCell ref="F269:G269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74:E274"/>
    <mergeCell ref="F274:G274"/>
    <mergeCell ref="D275:E275"/>
    <mergeCell ref="F275:G275"/>
    <mergeCell ref="D276:E276"/>
    <mergeCell ref="F276:G276"/>
    <mergeCell ref="D277:E277"/>
    <mergeCell ref="F277:G277"/>
    <mergeCell ref="D278:E278"/>
    <mergeCell ref="F278:G278"/>
    <mergeCell ref="D283:E283"/>
    <mergeCell ref="F283:G283"/>
    <mergeCell ref="D279:E279"/>
    <mergeCell ref="F279:G279"/>
    <mergeCell ref="D280:E280"/>
    <mergeCell ref="F280:G280"/>
    <mergeCell ref="B281:H281"/>
    <mergeCell ref="D282:E282"/>
    <mergeCell ref="F282:G282"/>
  </mergeCells>
  <printOptions/>
  <pageMargins left="0.5905511811023623" right="0.5905511811023623" top="0.984251968503937" bottom="0.984251968503937" header="0.4921259842519685" footer="0.4921259842519685"/>
  <pageSetup fitToHeight="100" fitToWidth="1" horizontalDpi="600" verticalDpi="600" orientation="portrait" paperSize="9" scale="69" r:id="rId3"/>
  <headerFooter scaleWithDoc="0" alignWithMargins="0">
    <oddHeader xml:space="preserve">&amp;R&amp;"Times New Roman,Regular"&amp;11&amp;G&amp;  Страница &amp;P от &amp;N    </oddHeader>
    <oddFooter>&amp;C&amp;"Times New Roman,Regular"КОЛИЧЕСТВЕНА СМЕТКА</oddFooter>
    <firstHeader xml:space="preserve">&amp;R&amp;"Times New Roman,Regular"&amp;11&amp;G&amp;  Страница &amp;P от &amp;N    </firstHeader>
    <firstFooter>&amp;C&amp;"Times New Roman,Regular"КОЛИЧЕСТВЕНА СМЕТКА</firstFooter>
  </headerFooter>
  <colBreaks count="1" manualBreakCount="1">
    <brk id="8" max="65535" man="1"/>
  </colBreaks>
  <ignoredErrors>
    <ignoredError sqref="H11:H12" emptyCellReferenc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Toplofikacia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c509</dc:creator>
  <cp:keywords/>
  <dc:description/>
  <cp:lastModifiedBy>Ина Емилова Милкова</cp:lastModifiedBy>
  <cp:lastPrinted>2020-05-18T07:51:55Z</cp:lastPrinted>
  <dcterms:created xsi:type="dcterms:W3CDTF">2006-10-25T12:23:12Z</dcterms:created>
  <dcterms:modified xsi:type="dcterms:W3CDTF">2020-05-26T10:04:22Z</dcterms:modified>
  <cp:category/>
  <cp:version/>
  <cp:contentType/>
  <cp:contentStatus/>
</cp:coreProperties>
</file>